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fileSharing readOnlyRecommended="1"/>
  <workbookPr/>
  <mc:AlternateContent xmlns:mc="http://schemas.openxmlformats.org/markup-compatibility/2006">
    <mc:Choice Requires="x15">
      <x15ac:absPath xmlns:x15ac="http://schemas.microsoft.com/office/spreadsheetml/2010/11/ac" url="F:\AtirLLSProductie\Atir\Projecten algemeen\In behandeling\Elevantio\3. Aanbestedingsdocumenten\6. Definitieve documenten - publicatie\"/>
    </mc:Choice>
  </mc:AlternateContent>
  <xr:revisionPtr revIDLastSave="0" documentId="13_ncr:1_{0463B092-0FBE-4E27-9133-00BA6960DD6B}" xr6:coauthVersionLast="47" xr6:coauthVersionMax="47" xr10:uidLastSave="{00000000-0000-0000-0000-000000000000}"/>
  <bookViews>
    <workbookView xWindow="-120" yWindow="-120" windowWidth="29040" windowHeight="15840" tabRatio="927" activeTab="1"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dditionele werkzaamheden" sheetId="31" r:id="rId9"/>
    <sheet name="9b-Vloeronderhoud" sheetId="39" r:id="rId10"/>
    <sheet name="9a-Typen vloeren" sheetId="40" r:id="rId11"/>
    <sheet name="9-Afroepprijs" sheetId="5" r:id="rId12"/>
    <sheet name="10-Glasbewassing" sheetId="35" r:id="rId13"/>
    <sheet name="11-Sanitaire voorzieningen" sheetId="36"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1F" localSheetId="10" hidden="1">[1]Psychiatrie!#REF!</definedName>
    <definedName name="__1F" localSheetId="9" hidden="1">[2]Psychiatrie!#REF!</definedName>
    <definedName name="__1F" hidden="1">[1]Psychiatrie!#REF!</definedName>
    <definedName name="__2_0_F" localSheetId="10" hidden="1">[1]Psychiatrie!#REF!</definedName>
    <definedName name="__2_0_F" localSheetId="9" hidden="1">[2]Psychiatrie!#REF!</definedName>
    <definedName name="__2_0_F" hidden="1">[1]Psychiatrie!#REF!</definedName>
    <definedName name="_1_________F" localSheetId="10" hidden="1">[1]Psychiatrie!#REF!</definedName>
    <definedName name="_1_________F" localSheetId="9" hidden="1">[2]Psychiatrie!#REF!</definedName>
    <definedName name="_1_________F" hidden="1">[1]Psychiatrie!#REF!</definedName>
    <definedName name="_1F" localSheetId="2" hidden="1">[1]Blad1!#REF!</definedName>
    <definedName name="_1F" localSheetId="10" hidden="1">[1]Blad1!#REF!</definedName>
    <definedName name="_1F" localSheetId="9" hidden="1">[2]Blad1!#REF!</definedName>
    <definedName name="_1F" hidden="1">[1]Blad1!#REF!</definedName>
    <definedName name="_2_______0_F" localSheetId="9" hidden="1">[2]Psychiatrie!#REF!</definedName>
    <definedName name="_2_______0_F" hidden="1">[1]Psychiatrie!#REF!</definedName>
    <definedName name="_2_0_F" localSheetId="9" hidden="1">[2]Psychiatrie!#REF!</definedName>
    <definedName name="_2_0_F" hidden="1">[1]Psychiatrie!#REF!</definedName>
    <definedName name="_2F" localSheetId="9" hidden="1">[2]Psychiatrie!#REF!</definedName>
    <definedName name="_2F" hidden="1">[1]Psychiatrie!#REF!</definedName>
    <definedName name="_3_0_F" localSheetId="9" hidden="1">[2]Psychiatrie!#REF!</definedName>
    <definedName name="_3_0_F" hidden="1">[1]Psychiatrie!#REF!</definedName>
    <definedName name="_3F" localSheetId="9" hidden="1">[2]Psychiatrie!#REF!</definedName>
    <definedName name="_3F" hidden="1">[1]Psychiatrie!#REF!</definedName>
    <definedName name="_4F" localSheetId="9" hidden="1">[2]Blad1!#REF!</definedName>
    <definedName name="_4F" hidden="1">[1]Blad1!#REF!</definedName>
    <definedName name="_5_0_F" localSheetId="9" hidden="1">[2]Psychiatrie!#REF!</definedName>
    <definedName name="_5_0_F" hidden="1">[1]Psychiatrie!#REF!</definedName>
    <definedName name="_8_0_F" localSheetId="9" hidden="1">[2]Psychiatrie!#REF!</definedName>
    <definedName name="_8_0_F" hidden="1">[1]Psychiatrie!#REF!</definedName>
    <definedName name="_Dist_Bin" localSheetId="10" hidden="1">#REF!</definedName>
    <definedName name="_Dist_Bin" localSheetId="9" hidden="1">#REF!</definedName>
    <definedName name="_Dist_Bin" hidden="1">#REF!</definedName>
    <definedName name="_Dist_Values" localSheetId="10" hidden="1">#REF!</definedName>
    <definedName name="_Dist_Values" localSheetId="9" hidden="1">#REF!</definedName>
    <definedName name="_Dist_Values" hidden="1">#REF!</definedName>
    <definedName name="_Fill" localSheetId="12" hidden="1">'[3]#REF'!#REF!</definedName>
    <definedName name="_Fill" localSheetId="13" hidden="1">'[4]#REF'!#REF!</definedName>
    <definedName name="_Fill" localSheetId="1" hidden="1">'[4]#REF'!#REF!</definedName>
    <definedName name="_Fill" localSheetId="2" hidden="1">'[5]#REF'!#REF!</definedName>
    <definedName name="_Fill" localSheetId="9" hidden="1">'[4]#REF'!#REF!</definedName>
    <definedName name="_Fill" localSheetId="0" hidden="1">'[5]#REF'!#REF!</definedName>
    <definedName name="_Fill" hidden="1">'[5]#REF'!#REF!</definedName>
    <definedName name="_filll" localSheetId="9" hidden="1">'[6]#REF'!#REF!</definedName>
    <definedName name="_filll" hidden="1">'[7]#REF'!#REF!</definedName>
    <definedName name="_xlnm._FilterDatabase" localSheetId="12" hidden="1">'10-Glasbewassing'!$A$10:$AB$164</definedName>
    <definedName name="_xlnm._FilterDatabase" localSheetId="2" hidden="1">'2-Kosten per locatie'!$A$10:$V$57</definedName>
    <definedName name="_xlnm._FilterDatabase" localSheetId="4" hidden="1">'4-Basis ruimtestaat'!$B$9:$Z$1789</definedName>
    <definedName name="_xlnm._FilterDatabase" localSheetId="9" hidden="1">'9b-Vloeronderhoud'!$A$14:$R$14</definedName>
    <definedName name="_Key1" localSheetId="12" hidden="1">'[3]#REF'!#REF!</definedName>
    <definedName name="_Key1" localSheetId="13" hidden="1">'[4]#REF'!#REF!</definedName>
    <definedName name="_Key1" localSheetId="1" hidden="1">'[4]#REF'!#REF!</definedName>
    <definedName name="_Key1" localSheetId="2" hidden="1">'[5]#REF'!#REF!</definedName>
    <definedName name="_Key1" localSheetId="10" hidden="1">'[5]#REF'!#REF!</definedName>
    <definedName name="_Key1" localSheetId="9" hidden="1">'[4]#REF'!#REF!</definedName>
    <definedName name="_Key1" localSheetId="0" hidden="1">'[5]#REF'!#REF!</definedName>
    <definedName name="_Key1" hidden="1">'[5]#REF'!#REF!</definedName>
    <definedName name="_Key2" localSheetId="13" hidden="1">#REF!</definedName>
    <definedName name="_Key2" localSheetId="2" hidden="1">#REF!</definedName>
    <definedName name="_Key2" localSheetId="10" hidden="1">#REF!</definedName>
    <definedName name="_Key2" localSheetId="9" hidden="1">#REF!</definedName>
    <definedName name="_Key2" hidden="1">#REF!</definedName>
    <definedName name="_Order1" hidden="1">255</definedName>
    <definedName name="_Order2" hidden="1">255</definedName>
    <definedName name="_Sort" localSheetId="13" hidden="1">#REF!</definedName>
    <definedName name="_Sort" localSheetId="2" hidden="1">#REF!</definedName>
    <definedName name="_Sort" localSheetId="10" hidden="1">#REF!</definedName>
    <definedName name="_Sort" localSheetId="9" hidden="1">#REF!</definedName>
    <definedName name="_Sort" hidden="1">#REF!</definedName>
    <definedName name="_Table1_In1" localSheetId="10" hidden="1">#REF!</definedName>
    <definedName name="_Table1_In1" localSheetId="9" hidden="1">#REF!</definedName>
    <definedName name="_Table1_In1" hidden="1">#REF!</definedName>
    <definedName name="_Table1_Out" localSheetId="10" hidden="1">#REF!</definedName>
    <definedName name="_Table1_Out" localSheetId="9" hidden="1">#REF!</definedName>
    <definedName name="_Table1_Out" hidden="1">#REF!</definedName>
    <definedName name="AccessDatabase" hidden="1">"C:\data\excel\BASISWP.mdb"</definedName>
    <definedName name="Additioneel" localSheetId="10" hidden="1">'[3]#REF'!#REF!</definedName>
    <definedName name="Additioneel" localSheetId="9" hidden="1">'[8]#REF'!#REF!</definedName>
    <definedName name="Additioneel" hidden="1">'[3]#REF'!#REF!</definedName>
    <definedName name="_xlnm.Print_Area" localSheetId="13">'11-Sanitaire voorzieningen'!$A$3:$I$18</definedName>
    <definedName name="_xlnm.Print_Area" localSheetId="1">'1-Contractblad totaal'!$A$1:$H$52</definedName>
    <definedName name="_xlnm.Print_Area" localSheetId="2">'2-Kosten per locatie'!$A$3:$L$57</definedName>
    <definedName name="_xlnm.Print_Area" localSheetId="4">'4-Basis ruimtestaat'!$B$3:$Z$398</definedName>
    <definedName name="_xlnm.Print_Area" localSheetId="5">'5-Premies en opslagen'!$A$3:$E$55</definedName>
    <definedName name="_xlnm.Print_Area" localSheetId="6">'6-Opbouw uurtarief productie'!$A$1:$R$63</definedName>
    <definedName name="_xlnm.Print_Area" localSheetId="11">'9-Afroepprijs'!$A$3:$F$46</definedName>
    <definedName name="_xlnm.Print_Area" localSheetId="0">'Info blad'!$A$1:$F$20</definedName>
    <definedName name="_xlnm.Print_Titles" localSheetId="12">'10-Glasbewassing'!$10:$10</definedName>
    <definedName name="_xlnm.Print_Titles" localSheetId="4">'4-Basis ruimtestaat'!$9:$9</definedName>
    <definedName name="_xlnm.Print_Titles" localSheetId="6">'6-Opbouw uurtarief productie'!$A:$C</definedName>
    <definedName name="_xlnm.Print_Titles" localSheetId="11">'9-Afroepprijs'!$6:$10</definedName>
    <definedName name="berichtok" localSheetId="2">'2-Kosten per locatie'!berichtok</definedName>
    <definedName name="berichtok">'2-Kosten per locatie'!berichtok</definedName>
    <definedName name="berichtok_1">#N/A</definedName>
    <definedName name="berichtoke" localSheetId="2">'2-Kosten per locatie'!berichtoke</definedName>
    <definedName name="berichtoke">'2-Kosten per locatie'!berichtoke</definedName>
    <definedName name="berichtoke_1">#N/A</definedName>
    <definedName name="berichtoke1" localSheetId="2">'2-Kosten per locatie'!berichtoke1</definedName>
    <definedName name="berichtoke1">'2-Kosten per locatie'!berichtoke1</definedName>
    <definedName name="berichtoke1_1">#N/A</definedName>
    <definedName name="Berkt" localSheetId="2">'2-Kosten per locatie'!Berkt</definedName>
    <definedName name="Berkt">'2-Kosten per locatie'!Berkt</definedName>
    <definedName name="Berkt_1">#N/A</definedName>
    <definedName name="dffdf" localSheetId="13" hidden="1">'[9]#REF'!#REF!</definedName>
    <definedName name="dffdf" localSheetId="10" hidden="1">'[9]#REF'!#REF!</definedName>
    <definedName name="dffdf" localSheetId="9" hidden="1">'[4]#REF'!#REF!</definedName>
    <definedName name="dffdf" hidden="1">'[9]#REF'!#REF!</definedName>
    <definedName name="einde" localSheetId="2">'2-Kosten per locatie'!einde</definedName>
    <definedName name="einde">'2-Kosten per locatie'!einde</definedName>
    <definedName name="einde_1">#N/A</definedName>
    <definedName name="fghf" localSheetId="10" hidden="1">'[4]#REF'!#REF!</definedName>
    <definedName name="fghf" localSheetId="9" hidden="1">'[4]#REF'!#REF!</definedName>
    <definedName name="fghf" hidden="1">'[4]#REF'!#REF!</definedName>
    <definedName name="Gan_R" localSheetId="2">'2-Kosten per locatie'!Gan_R</definedName>
    <definedName name="Gan_R">'2-Kosten per locatie'!Gan_R</definedName>
    <definedName name="Gan_R_1">#N/A</definedName>
    <definedName name="gebouw" localSheetId="2">'2-Kosten per locatie'!$A:$A</definedName>
    <definedName name="gebouw">'4-Basis ruimtestaat'!$B:$B</definedName>
    <definedName name="glas" localSheetId="2">'2-Kosten per locatie'!glas</definedName>
    <definedName name="glas">'2-Kosten per locatie'!glas</definedName>
    <definedName name="glas_1">#N/A</definedName>
    <definedName name="gs" localSheetId="10" hidden="1">'[9]#REF'!#REF!</definedName>
    <definedName name="gs" localSheetId="9" hidden="1">'[4]#REF'!#REF!</definedName>
    <definedName name="gs" hidden="1">'[9]#REF'!#REF!</definedName>
    <definedName name="han" localSheetId="12" hidden="1">'[3]#REF'!#REF!</definedName>
    <definedName name="han" localSheetId="13" hidden="1">'[4]#REF'!#REF!</definedName>
    <definedName name="han" localSheetId="1" hidden="1">'[4]#REF'!#REF!</definedName>
    <definedName name="han" localSheetId="2" hidden="1">'[5]#REF'!#REF!</definedName>
    <definedName name="han" localSheetId="10" hidden="1">'[5]#REF'!#REF!</definedName>
    <definedName name="han" localSheetId="9" hidden="1">'[4]#REF'!#REF!</definedName>
    <definedName name="han" hidden="1">'[5]#REF'!#REF!</definedName>
    <definedName name="HTML_CodePage" hidden="1">1252</definedName>
    <definedName name="HTML_Control" localSheetId="13" hidden="1">{"'ma_vr'!$A$1:$AA$42"}</definedName>
    <definedName name="HTML_Control" localSheetId="2" hidden="1">{"'ma_vr'!$A$1:$AA$42"}</definedName>
    <definedName name="HTML_Control" localSheetId="10" hidden="1">{"'ma_vr'!$A$1:$AA$42"}</definedName>
    <definedName name="HTML_Control" localSheetId="9" hidden="1">{"'ma_vr'!$A$1:$AA$42"}</definedName>
    <definedName name="HTML_Control" hidden="1">{"'ma_vr'!$A$1:$AA$42"}</definedName>
    <definedName name="HTML_Control_1" localSheetId="10" hidden="1">{"'ma_vr'!$A$1:$AA$42"}</definedName>
    <definedName name="HTML_Control_1" hidden="1">{"'ma_vr'!$A$1:$AA$42"}</definedName>
    <definedName name="HTML_Control_2" hidden="1">{"'ma_vr'!$A$1:$AA$42"}</definedName>
    <definedName name="HTML_Control_3" hidden="1">{"'ma_vr'!$A$1:$AA$42"}</definedName>
    <definedName name="HTML_Control_4" hidden="1">{"'ma_vr'!$A$1:$AA$42"}</definedName>
    <definedName name="HTML_Control_5"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localSheetId="10" hidden="1">'[4]#REF'!#REF!</definedName>
    <definedName name="kjh" localSheetId="9" hidden="1">'[4]#REF'!#REF!</definedName>
    <definedName name="kjh" hidden="1">'[4]#REF'!#REF!</definedName>
    <definedName name="Mutatiederdekwartaal" localSheetId="2" hidden="1">{"'ma_vr'!$A$1:$AA$42"}</definedName>
    <definedName name="Mutatiederdekwartaal" localSheetId="10" hidden="1">{"'ma_vr'!$A$1:$AA$42"}</definedName>
    <definedName name="Mutatiederdekwartaal" localSheetId="9" hidden="1">{"'ma_vr'!$A$1:$AA$42"}</definedName>
    <definedName name="Mutatiederdekwartaal" hidden="1">{"'ma_vr'!$A$1:$AA$42"}</definedName>
    <definedName name="Mutatiederdekwartaal_1" localSheetId="10" hidden="1">{"'ma_vr'!$A$1:$AA$42"}</definedName>
    <definedName name="Mutatiederdekwartaal_1" hidden="1">{"'ma_vr'!$A$1:$AA$42"}</definedName>
    <definedName name="Mutatiederdekwartaal_2" hidden="1">{"'ma_vr'!$A$1:$AA$42"}</definedName>
    <definedName name="Mutatiederdekwartaal_3" hidden="1">{"'ma_vr'!$A$1:$AA$42"}</definedName>
    <definedName name="Mutatiederdekwartaal_4" hidden="1">{"'ma_vr'!$A$1:$AA$42"}</definedName>
    <definedName name="Mutatiederdekwartaal_5" hidden="1">{"'ma_vr'!$A$1:$AA$42"}</definedName>
    <definedName name="NvB" localSheetId="10" hidden="1">'[7]#REF'!#REF!</definedName>
    <definedName name="NvB" localSheetId="9" hidden="1">'[6]#REF'!#REF!</definedName>
    <definedName name="NvB" hidden="1">'[7]#REF'!#REF!</definedName>
    <definedName name="uren_mavr">'4-Basis ruimtestaat'!$T:$T</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4" i="28" l="1"/>
  <c r="D30" i="31" l="1"/>
  <c r="O11" i="2" l="1"/>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4" i="2"/>
  <c r="O115" i="2"/>
  <c r="O116" i="2"/>
  <c r="O117"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9" i="2"/>
  <c r="O170" i="2"/>
  <c r="O171" i="2"/>
  <c r="O172" i="2"/>
  <c r="O173" i="2"/>
  <c r="O175" i="2"/>
  <c r="O176" i="2"/>
  <c r="O178" i="2"/>
  <c r="O179" i="2"/>
  <c r="O180" i="2"/>
  <c r="O181" i="2"/>
  <c r="O182" i="2"/>
  <c r="O183" i="2"/>
  <c r="O184" i="2"/>
  <c r="O185" i="2"/>
  <c r="O186" i="2"/>
  <c r="O188" i="2"/>
  <c r="O189" i="2"/>
  <c r="O190" i="2"/>
  <c r="O191" i="2"/>
  <c r="O194" i="2"/>
  <c r="O195" i="2"/>
  <c r="O197" i="2"/>
  <c r="O198" i="2"/>
  <c r="O199" i="2"/>
  <c r="O201" i="2"/>
  <c r="O202" i="2"/>
  <c r="O203" i="2"/>
  <c r="O204" i="2"/>
  <c r="O206" i="2"/>
  <c r="O207" i="2"/>
  <c r="O208" i="2"/>
  <c r="O210" i="2"/>
  <c r="O211" i="2"/>
  <c r="O213" i="2"/>
  <c r="O214" i="2"/>
  <c r="O215" i="2"/>
  <c r="O216" i="2"/>
  <c r="O217" i="2"/>
  <c r="O219" i="2"/>
  <c r="O220" i="2"/>
  <c r="O221" i="2"/>
  <c r="O222" i="2"/>
  <c r="O223" i="2"/>
  <c r="O224" i="2"/>
  <c r="O225" i="2"/>
  <c r="O227" i="2"/>
  <c r="O228" i="2"/>
  <c r="O229" i="2"/>
  <c r="O230" i="2"/>
  <c r="O231" i="2"/>
  <c r="O232" i="2"/>
  <c r="O233" i="2"/>
  <c r="O234" i="2"/>
  <c r="O235" i="2"/>
  <c r="O236" i="2"/>
  <c r="O237" i="2"/>
  <c r="O238" i="2"/>
  <c r="O239" i="2"/>
  <c r="O240" i="2"/>
  <c r="O242" i="2"/>
  <c r="O243" i="2"/>
  <c r="O245" i="2"/>
  <c r="O246" i="2"/>
  <c r="O247" i="2"/>
  <c r="O248" i="2"/>
  <c r="O249" i="2"/>
  <c r="O250" i="2"/>
  <c r="O251" i="2"/>
  <c r="O252" i="2"/>
  <c r="O253" i="2"/>
  <c r="O254" i="2"/>
  <c r="O255" i="2"/>
  <c r="O257" i="2"/>
  <c r="O258" i="2"/>
  <c r="O259" i="2"/>
  <c r="O260" i="2"/>
  <c r="O261" i="2"/>
  <c r="O262" i="2"/>
  <c r="O263" i="2"/>
  <c r="O264" i="2"/>
  <c r="O265" i="2"/>
  <c r="O266" i="2"/>
  <c r="O267" i="2"/>
  <c r="O268" i="2"/>
  <c r="O269" i="2"/>
  <c r="O270" i="2"/>
  <c r="O271" i="2"/>
  <c r="O272" i="2"/>
  <c r="O273" i="2"/>
  <c r="O275" i="2"/>
  <c r="O276" i="2"/>
  <c r="O277" i="2"/>
  <c r="O278" i="2"/>
  <c r="O279" i="2"/>
  <c r="O280" i="2"/>
  <c r="O281" i="2"/>
  <c r="O282" i="2"/>
  <c r="O283" i="2"/>
  <c r="O284" i="2"/>
  <c r="O285" i="2"/>
  <c r="O286" i="2"/>
  <c r="O287" i="2"/>
  <c r="O289" i="2"/>
  <c r="O290" i="2"/>
  <c r="O291" i="2"/>
  <c r="O292" i="2"/>
  <c r="O293" i="2"/>
  <c r="O294" i="2"/>
  <c r="O295" i="2"/>
  <c r="O296" i="2"/>
  <c r="O297" i="2"/>
  <c r="O299" i="2"/>
  <c r="O301" i="2"/>
  <c r="O302" i="2"/>
  <c r="O303" i="2"/>
  <c r="O304" i="2"/>
  <c r="O305" i="2"/>
  <c r="O306" i="2"/>
  <c r="O307" i="2"/>
  <c r="O308" i="2"/>
  <c r="O309" i="2"/>
  <c r="O310" i="2"/>
  <c r="O311" i="2"/>
  <c r="O312" i="2"/>
  <c r="O313" i="2"/>
  <c r="O314" i="2"/>
  <c r="O315" i="2"/>
  <c r="O316" i="2"/>
  <c r="O319" i="2"/>
  <c r="O320" i="2"/>
  <c r="O321" i="2"/>
  <c r="O322" i="2"/>
  <c r="O323" i="2"/>
  <c r="O324" i="2"/>
  <c r="O325" i="2"/>
  <c r="O326" i="2"/>
  <c r="O327" i="2"/>
  <c r="O328" i="2"/>
  <c r="O329" i="2"/>
  <c r="O330" i="2"/>
  <c r="O331" i="2"/>
  <c r="O332" i="2"/>
  <c r="O333" i="2"/>
  <c r="O334" i="2"/>
  <c r="O335" i="2"/>
  <c r="O336" i="2"/>
  <c r="O337" i="2"/>
  <c r="O338" i="2"/>
  <c r="O339" i="2"/>
  <c r="O340" i="2"/>
  <c r="O341" i="2"/>
  <c r="O342" i="2"/>
  <c r="O343" i="2"/>
  <c r="O344" i="2"/>
  <c r="O345" i="2"/>
  <c r="O346" i="2"/>
  <c r="O347" i="2"/>
  <c r="O348" i="2"/>
  <c r="O349" i="2"/>
  <c r="O350" i="2"/>
  <c r="O353" i="2"/>
  <c r="O354" i="2"/>
  <c r="O355" i="2"/>
  <c r="O356" i="2"/>
  <c r="O357" i="2"/>
  <c r="O359" i="2"/>
  <c r="O360" i="2"/>
  <c r="O362" i="2"/>
  <c r="O363" i="2"/>
  <c r="O364" i="2"/>
  <c r="O365" i="2"/>
  <c r="O366" i="2"/>
  <c r="O368" i="2"/>
  <c r="O369" i="2"/>
  <c r="O370" i="2"/>
  <c r="O371" i="2"/>
  <c r="O372" i="2"/>
  <c r="O373" i="2"/>
  <c r="O374" i="2"/>
  <c r="O375" i="2"/>
  <c r="O376" i="2"/>
  <c r="O377" i="2"/>
  <c r="O378" i="2"/>
  <c r="O379" i="2"/>
  <c r="O380" i="2"/>
  <c r="O381" i="2"/>
  <c r="O382" i="2"/>
  <c r="O383" i="2"/>
  <c r="O384" i="2"/>
  <c r="O385" i="2"/>
  <c r="O386" i="2"/>
  <c r="O387" i="2"/>
  <c r="O388" i="2"/>
  <c r="O389" i="2"/>
  <c r="O390" i="2"/>
  <c r="O391" i="2"/>
  <c r="O392" i="2"/>
  <c r="O393" i="2"/>
  <c r="O394" i="2"/>
  <c r="O395" i="2"/>
  <c r="O396" i="2"/>
  <c r="O397" i="2"/>
  <c r="O398" i="2"/>
  <c r="O399" i="2"/>
  <c r="O400" i="2"/>
  <c r="O401" i="2"/>
  <c r="O402" i="2"/>
  <c r="O403" i="2"/>
  <c r="O404" i="2"/>
  <c r="O405" i="2"/>
  <c r="O406" i="2"/>
  <c r="O407" i="2"/>
  <c r="O408" i="2"/>
  <c r="O409" i="2"/>
  <c r="O410" i="2"/>
  <c r="O412" i="2"/>
  <c r="O414" i="2"/>
  <c r="O415" i="2"/>
  <c r="O416" i="2"/>
  <c r="O417" i="2"/>
  <c r="O418" i="2"/>
  <c r="O419" i="2"/>
  <c r="O420" i="2"/>
  <c r="O421" i="2"/>
  <c r="O422" i="2"/>
  <c r="O423" i="2"/>
  <c r="O424" i="2"/>
  <c r="O425" i="2"/>
  <c r="O426" i="2"/>
  <c r="O427" i="2"/>
  <c r="O428" i="2"/>
  <c r="O429" i="2"/>
  <c r="O430" i="2"/>
  <c r="O431" i="2"/>
  <c r="O432" i="2"/>
  <c r="O433" i="2"/>
  <c r="O435" i="2"/>
  <c r="O436" i="2"/>
  <c r="O437" i="2"/>
  <c r="O438" i="2"/>
  <c r="O439" i="2"/>
  <c r="O441" i="2"/>
  <c r="O442" i="2"/>
  <c r="O443" i="2"/>
  <c r="O445" i="2"/>
  <c r="O446" i="2"/>
  <c r="O447" i="2"/>
  <c r="O448" i="2"/>
  <c r="O449" i="2"/>
  <c r="O450" i="2"/>
  <c r="O451" i="2"/>
  <c r="O452" i="2"/>
  <c r="O453" i="2"/>
  <c r="O454" i="2"/>
  <c r="O455" i="2"/>
  <c r="O456" i="2"/>
  <c r="O457" i="2"/>
  <c r="O461" i="2"/>
  <c r="O462" i="2"/>
  <c r="O463" i="2"/>
  <c r="O464" i="2"/>
  <c r="O465" i="2"/>
  <c r="O466" i="2"/>
  <c r="O467" i="2"/>
  <c r="O468" i="2"/>
  <c r="O469" i="2"/>
  <c r="O470" i="2"/>
  <c r="O471" i="2"/>
  <c r="O472" i="2"/>
  <c r="O473" i="2"/>
  <c r="O474" i="2"/>
  <c r="O475" i="2"/>
  <c r="O477" i="2"/>
  <c r="O478" i="2"/>
  <c r="O479" i="2"/>
  <c r="O480" i="2"/>
  <c r="O481" i="2"/>
  <c r="O482" i="2"/>
  <c r="O483" i="2"/>
  <c r="O484" i="2"/>
  <c r="O485" i="2"/>
  <c r="O486" i="2"/>
  <c r="O487" i="2"/>
  <c r="O488" i="2"/>
  <c r="O489" i="2"/>
  <c r="O490" i="2"/>
  <c r="O492" i="2"/>
  <c r="O494" i="2"/>
  <c r="O495" i="2"/>
  <c r="O496" i="2"/>
  <c r="O497" i="2"/>
  <c r="O498" i="2"/>
  <c r="O499" i="2"/>
  <c r="O500" i="2"/>
  <c r="O501" i="2"/>
  <c r="O502" i="2"/>
  <c r="O503" i="2"/>
  <c r="O504" i="2"/>
  <c r="O505" i="2"/>
  <c r="O507" i="2"/>
  <c r="O508" i="2"/>
  <c r="O509" i="2"/>
  <c r="O511" i="2"/>
  <c r="O512" i="2"/>
  <c r="O513" i="2"/>
  <c r="O514" i="2"/>
  <c r="O515" i="2"/>
  <c r="O516" i="2"/>
  <c r="O517" i="2"/>
  <c r="O518" i="2"/>
  <c r="O519" i="2"/>
  <c r="O521" i="2"/>
  <c r="O522" i="2"/>
  <c r="O523" i="2"/>
  <c r="O524" i="2"/>
  <c r="O525" i="2"/>
  <c r="O526" i="2"/>
  <c r="O527" i="2"/>
  <c r="O528" i="2"/>
  <c r="O529" i="2"/>
  <c r="O530" i="2"/>
  <c r="O531" i="2"/>
  <c r="O532" i="2"/>
  <c r="O533" i="2"/>
  <c r="O534" i="2"/>
  <c r="O535" i="2"/>
  <c r="O536" i="2"/>
  <c r="O537" i="2"/>
  <c r="O538" i="2"/>
  <c r="O539" i="2"/>
  <c r="O540" i="2"/>
  <c r="O541" i="2"/>
  <c r="O542" i="2"/>
  <c r="O543" i="2"/>
  <c r="O544" i="2"/>
  <c r="O545" i="2"/>
  <c r="O546" i="2"/>
  <c r="O547" i="2"/>
  <c r="O548" i="2"/>
  <c r="O549" i="2"/>
  <c r="O550" i="2"/>
  <c r="O551" i="2"/>
  <c r="O552" i="2"/>
  <c r="O553" i="2"/>
  <c r="O554" i="2"/>
  <c r="O555" i="2"/>
  <c r="O556" i="2"/>
  <c r="O557" i="2"/>
  <c r="O558" i="2"/>
  <c r="O559" i="2"/>
  <c r="O560" i="2"/>
  <c r="O561" i="2"/>
  <c r="O562" i="2"/>
  <c r="O563" i="2"/>
  <c r="O564" i="2"/>
  <c r="O565" i="2"/>
  <c r="O566" i="2"/>
  <c r="O567" i="2"/>
  <c r="O568" i="2"/>
  <c r="O569" i="2"/>
  <c r="O570" i="2"/>
  <c r="O571" i="2"/>
  <c r="O572" i="2"/>
  <c r="O573" i="2"/>
  <c r="O574" i="2"/>
  <c r="O575" i="2"/>
  <c r="O576" i="2"/>
  <c r="O577" i="2"/>
  <c r="O578" i="2"/>
  <c r="O579" i="2"/>
  <c r="O580" i="2"/>
  <c r="O581" i="2"/>
  <c r="O582" i="2"/>
  <c r="O583" i="2"/>
  <c r="O584" i="2"/>
  <c r="O585" i="2"/>
  <c r="O586" i="2"/>
  <c r="O587" i="2"/>
  <c r="O588" i="2"/>
  <c r="O589" i="2"/>
  <c r="O590" i="2"/>
  <c r="O591" i="2"/>
  <c r="O592" i="2"/>
  <c r="O593" i="2"/>
  <c r="O594" i="2"/>
  <c r="O595" i="2"/>
  <c r="O596" i="2"/>
  <c r="O597" i="2"/>
  <c r="O598" i="2"/>
  <c r="O599" i="2"/>
  <c r="O600" i="2"/>
  <c r="O601" i="2"/>
  <c r="O602" i="2"/>
  <c r="O603" i="2"/>
  <c r="O604" i="2"/>
  <c r="O606" i="2"/>
  <c r="O607" i="2"/>
  <c r="O609" i="2"/>
  <c r="O610" i="2"/>
  <c r="O612" i="2"/>
  <c r="O613" i="2"/>
  <c r="O614" i="2"/>
  <c r="O616" i="2"/>
  <c r="O617" i="2"/>
  <c r="O618" i="2"/>
  <c r="O619" i="2"/>
  <c r="O620" i="2"/>
  <c r="O621" i="2"/>
  <c r="O622" i="2"/>
  <c r="O623" i="2"/>
  <c r="O624" i="2"/>
  <c r="O626" i="2"/>
  <c r="O627" i="2"/>
  <c r="O628" i="2"/>
  <c r="O629" i="2"/>
  <c r="O630" i="2"/>
  <c r="O631" i="2"/>
  <c r="O632" i="2"/>
  <c r="O634" i="2"/>
  <c r="O635" i="2"/>
  <c r="O636" i="2"/>
  <c r="O637" i="2"/>
  <c r="O638" i="2"/>
  <c r="O640" i="2"/>
  <c r="O641" i="2"/>
  <c r="O642" i="2"/>
  <c r="O643" i="2"/>
  <c r="O645" i="2"/>
  <c r="O646" i="2"/>
  <c r="O647" i="2"/>
  <c r="O648" i="2"/>
  <c r="O649" i="2"/>
  <c r="O650" i="2"/>
  <c r="O651" i="2"/>
  <c r="O652" i="2"/>
  <c r="O654" i="2"/>
  <c r="O655" i="2"/>
  <c r="O656" i="2"/>
  <c r="O658" i="2"/>
  <c r="O659" i="2"/>
  <c r="O660" i="2"/>
  <c r="O661" i="2"/>
  <c r="O662" i="2"/>
  <c r="O663" i="2"/>
  <c r="O665" i="2"/>
  <c r="O666" i="2"/>
  <c r="O667" i="2"/>
  <c r="O668" i="2"/>
  <c r="O669" i="2"/>
  <c r="O670" i="2"/>
  <c r="O671" i="2"/>
  <c r="O673" i="2"/>
  <c r="O674" i="2"/>
  <c r="O675" i="2"/>
  <c r="O676" i="2"/>
  <c r="O677" i="2"/>
  <c r="O678" i="2"/>
  <c r="O679" i="2"/>
  <c r="O680" i="2"/>
  <c r="O681" i="2"/>
  <c r="O682" i="2"/>
  <c r="O683" i="2"/>
  <c r="O685" i="2"/>
  <c r="O686" i="2"/>
  <c r="O687" i="2"/>
  <c r="O688" i="2"/>
  <c r="O689" i="2"/>
  <c r="O690" i="2"/>
  <c r="O692" i="2"/>
  <c r="O693" i="2"/>
  <c r="O694" i="2"/>
  <c r="O695" i="2"/>
  <c r="O696" i="2"/>
  <c r="O697" i="2"/>
  <c r="O699" i="2"/>
  <c r="O700" i="2"/>
  <c r="O701" i="2"/>
  <c r="O702" i="2"/>
  <c r="O703" i="2"/>
  <c r="O704" i="2"/>
  <c r="O705" i="2"/>
  <c r="O706" i="2"/>
  <c r="O707" i="2"/>
  <c r="O708" i="2"/>
  <c r="O709" i="2"/>
  <c r="O710" i="2"/>
  <c r="O711" i="2"/>
  <c r="O714" i="2"/>
  <c r="O715" i="2"/>
  <c r="O716" i="2"/>
  <c r="O717" i="2"/>
  <c r="O719" i="2"/>
  <c r="O720" i="2"/>
  <c r="O722" i="2"/>
  <c r="O723" i="2"/>
  <c r="O724" i="2"/>
  <c r="O726" i="2"/>
  <c r="O727" i="2"/>
  <c r="O728" i="2"/>
  <c r="O729" i="2"/>
  <c r="O730" i="2"/>
  <c r="O731" i="2"/>
  <c r="O732" i="2"/>
  <c r="O733" i="2"/>
  <c r="O734" i="2"/>
  <c r="O735" i="2"/>
  <c r="O736" i="2"/>
  <c r="O737" i="2"/>
  <c r="O738" i="2"/>
  <c r="O739" i="2"/>
  <c r="O740" i="2"/>
  <c r="O741" i="2"/>
  <c r="O742" i="2"/>
  <c r="O743" i="2"/>
  <c r="O744" i="2"/>
  <c r="O745" i="2"/>
  <c r="O746" i="2"/>
  <c r="O747" i="2"/>
  <c r="O748" i="2"/>
  <c r="O749" i="2"/>
  <c r="O750" i="2"/>
  <c r="O751" i="2"/>
  <c r="O752" i="2"/>
  <c r="O753" i="2"/>
  <c r="O754" i="2"/>
  <c r="O755" i="2"/>
  <c r="O756" i="2"/>
  <c r="O757" i="2"/>
  <c r="O758" i="2"/>
  <c r="O759" i="2"/>
  <c r="O760" i="2"/>
  <c r="O761" i="2"/>
  <c r="O762" i="2"/>
  <c r="O767" i="2"/>
  <c r="O769" i="2"/>
  <c r="O770" i="2"/>
  <c r="O771" i="2"/>
  <c r="O772" i="2"/>
  <c r="O773" i="2"/>
  <c r="O774" i="2"/>
  <c r="O775" i="2"/>
  <c r="O776" i="2"/>
  <c r="O777" i="2"/>
  <c r="O778" i="2"/>
  <c r="O779" i="2"/>
  <c r="O780" i="2"/>
  <c r="O781" i="2"/>
  <c r="O782" i="2"/>
  <c r="O783" i="2"/>
  <c r="O784" i="2"/>
  <c r="O785" i="2"/>
  <c r="O786" i="2"/>
  <c r="O787" i="2"/>
  <c r="O788" i="2"/>
  <c r="O789" i="2"/>
  <c r="O790" i="2"/>
  <c r="O791" i="2"/>
  <c r="O792" i="2"/>
  <c r="O793" i="2"/>
  <c r="O794" i="2"/>
  <c r="O795" i="2"/>
  <c r="O796" i="2"/>
  <c r="O797" i="2"/>
  <c r="O798" i="2"/>
  <c r="O799" i="2"/>
  <c r="O800" i="2"/>
  <c r="O801" i="2"/>
  <c r="O802" i="2"/>
  <c r="O803" i="2"/>
  <c r="O804" i="2"/>
  <c r="O805" i="2"/>
  <c r="O806" i="2"/>
  <c r="O807" i="2"/>
  <c r="O808" i="2"/>
  <c r="O809" i="2"/>
  <c r="O810" i="2"/>
  <c r="O811" i="2"/>
  <c r="O812" i="2"/>
  <c r="O813" i="2"/>
  <c r="O814" i="2"/>
  <c r="O815" i="2"/>
  <c r="O816" i="2"/>
  <c r="O817" i="2"/>
  <c r="O818" i="2"/>
  <c r="O819" i="2"/>
  <c r="O820" i="2"/>
  <c r="O821" i="2"/>
  <c r="O822" i="2"/>
  <c r="O823" i="2"/>
  <c r="O824" i="2"/>
  <c r="O825" i="2"/>
  <c r="O826" i="2"/>
  <c r="O827" i="2"/>
  <c r="O828" i="2"/>
  <c r="O829" i="2"/>
  <c r="O830" i="2"/>
  <c r="O831" i="2"/>
  <c r="O832" i="2"/>
  <c r="O833" i="2"/>
  <c r="O834" i="2"/>
  <c r="O835" i="2"/>
  <c r="O836" i="2"/>
  <c r="O837" i="2"/>
  <c r="O838" i="2"/>
  <c r="O839" i="2"/>
  <c r="O840" i="2"/>
  <c r="O841" i="2"/>
  <c r="O842" i="2"/>
  <c r="O843" i="2"/>
  <c r="O844" i="2"/>
  <c r="O845" i="2"/>
  <c r="O846" i="2"/>
  <c r="O847" i="2"/>
  <c r="O848" i="2"/>
  <c r="O849" i="2"/>
  <c r="O850" i="2"/>
  <c r="O851" i="2"/>
  <c r="O852" i="2"/>
  <c r="O853" i="2"/>
  <c r="O854" i="2"/>
  <c r="O855" i="2"/>
  <c r="O856" i="2"/>
  <c r="O857" i="2"/>
  <c r="O858" i="2"/>
  <c r="O859" i="2"/>
  <c r="O860" i="2"/>
  <c r="O861" i="2"/>
  <c r="O862" i="2"/>
  <c r="O863" i="2"/>
  <c r="O864" i="2"/>
  <c r="O865" i="2"/>
  <c r="O866" i="2"/>
  <c r="O867" i="2"/>
  <c r="O868" i="2"/>
  <c r="O869" i="2"/>
  <c r="O870" i="2"/>
  <c r="O871" i="2"/>
  <c r="O872" i="2"/>
  <c r="O873" i="2"/>
  <c r="O874" i="2"/>
  <c r="O875" i="2"/>
  <c r="O876" i="2"/>
  <c r="O877" i="2"/>
  <c r="O878" i="2"/>
  <c r="O879" i="2"/>
  <c r="O881" i="2"/>
  <c r="O882" i="2"/>
  <c r="O883" i="2"/>
  <c r="O884" i="2"/>
  <c r="O885" i="2"/>
  <c r="O886" i="2"/>
  <c r="O887" i="2"/>
  <c r="O888" i="2"/>
  <c r="O889" i="2"/>
  <c r="O890" i="2"/>
  <c r="O891" i="2"/>
  <c r="O892" i="2"/>
  <c r="O893" i="2"/>
  <c r="O894" i="2"/>
  <c r="O895" i="2"/>
  <c r="O896" i="2"/>
  <c r="O897" i="2"/>
  <c r="O898" i="2"/>
  <c r="O900" i="2"/>
  <c r="O901" i="2"/>
  <c r="O902" i="2"/>
  <c r="O903" i="2"/>
  <c r="O904" i="2"/>
  <c r="O905" i="2"/>
  <c r="O906" i="2"/>
  <c r="O907" i="2"/>
  <c r="O908" i="2"/>
  <c r="O909" i="2"/>
  <c r="O910" i="2"/>
  <c r="O911" i="2"/>
  <c r="O912" i="2"/>
  <c r="O913" i="2"/>
  <c r="O914" i="2"/>
  <c r="O915" i="2"/>
  <c r="O916" i="2"/>
  <c r="O917" i="2"/>
  <c r="O918" i="2"/>
  <c r="O919" i="2"/>
  <c r="O920" i="2"/>
  <c r="O921" i="2"/>
  <c r="O922" i="2"/>
  <c r="O923" i="2"/>
  <c r="O924" i="2"/>
  <c r="O925" i="2"/>
  <c r="O927" i="2"/>
  <c r="O928" i="2"/>
  <c r="O929" i="2"/>
  <c r="O930" i="2"/>
  <c r="O931" i="2"/>
  <c r="O932" i="2"/>
  <c r="O933" i="2"/>
  <c r="O934" i="2"/>
  <c r="O935" i="2"/>
  <c r="O936" i="2"/>
  <c r="O937" i="2"/>
  <c r="O938" i="2"/>
  <c r="O939" i="2"/>
  <c r="O940" i="2"/>
  <c r="O941" i="2"/>
  <c r="O942" i="2"/>
  <c r="O943" i="2"/>
  <c r="O944" i="2"/>
  <c r="O945" i="2"/>
  <c r="O946" i="2"/>
  <c r="O947" i="2"/>
  <c r="O948" i="2"/>
  <c r="O949" i="2"/>
  <c r="O950" i="2"/>
  <c r="O951" i="2"/>
  <c r="O952" i="2"/>
  <c r="O953" i="2"/>
  <c r="O954" i="2"/>
  <c r="O955" i="2"/>
  <c r="O956" i="2"/>
  <c r="O957" i="2"/>
  <c r="O958" i="2"/>
  <c r="O959" i="2"/>
  <c r="O960" i="2"/>
  <c r="O961" i="2"/>
  <c r="O962" i="2"/>
  <c r="O963" i="2"/>
  <c r="O964" i="2"/>
  <c r="O965" i="2"/>
  <c r="O966" i="2"/>
  <c r="O968" i="2"/>
  <c r="O969" i="2"/>
  <c r="O971" i="2"/>
  <c r="O972" i="2"/>
  <c r="O975" i="2"/>
  <c r="O976" i="2"/>
  <c r="O977" i="2"/>
  <c r="O978" i="2"/>
  <c r="O979" i="2"/>
  <c r="O980" i="2"/>
  <c r="O981" i="2"/>
  <c r="O982" i="2"/>
  <c r="O983" i="2"/>
  <c r="O984" i="2"/>
  <c r="O985" i="2"/>
  <c r="O986" i="2"/>
  <c r="O987" i="2"/>
  <c r="O989" i="2"/>
  <c r="O991" i="2"/>
  <c r="O992" i="2"/>
  <c r="O993" i="2"/>
  <c r="O994" i="2"/>
  <c r="O995" i="2"/>
  <c r="O996" i="2"/>
  <c r="O997" i="2"/>
  <c r="O999" i="2"/>
  <c r="O1001" i="2"/>
  <c r="O1002" i="2"/>
  <c r="O1003" i="2"/>
  <c r="O1004" i="2"/>
  <c r="O1005" i="2"/>
  <c r="O1006" i="2"/>
  <c r="O1007" i="2"/>
  <c r="O1008" i="2"/>
  <c r="O1009" i="2"/>
  <c r="O1010" i="2"/>
  <c r="O1011" i="2"/>
  <c r="O1012" i="2"/>
  <c r="O1013" i="2"/>
  <c r="O1014" i="2"/>
  <c r="O1015" i="2"/>
  <c r="O1016" i="2"/>
  <c r="O1017" i="2"/>
  <c r="O1018" i="2"/>
  <c r="O1019" i="2"/>
  <c r="O1020" i="2"/>
  <c r="O1021" i="2"/>
  <c r="O1022" i="2"/>
  <c r="O1023" i="2"/>
  <c r="O1024" i="2"/>
  <c r="O1025" i="2"/>
  <c r="O1026" i="2"/>
  <c r="O1027" i="2"/>
  <c r="O1028" i="2"/>
  <c r="O1029" i="2"/>
  <c r="O1030" i="2"/>
  <c r="O1031" i="2"/>
  <c r="O1032" i="2"/>
  <c r="O1033" i="2"/>
  <c r="O1034" i="2"/>
  <c r="O1035" i="2"/>
  <c r="O1036" i="2"/>
  <c r="O1037" i="2"/>
  <c r="O1038" i="2"/>
  <c r="O1039" i="2"/>
  <c r="O1040" i="2"/>
  <c r="O1041" i="2"/>
  <c r="O1042" i="2"/>
  <c r="O1043" i="2"/>
  <c r="O1044" i="2"/>
  <c r="O1045" i="2"/>
  <c r="O1046" i="2"/>
  <c r="O1048" i="2"/>
  <c r="O1049" i="2"/>
  <c r="O1050" i="2"/>
  <c r="O1052" i="2"/>
  <c r="O1053" i="2"/>
  <c r="O1054" i="2"/>
  <c r="O1055" i="2"/>
  <c r="O1056" i="2"/>
  <c r="O1057" i="2"/>
  <c r="O1058" i="2"/>
  <c r="O1059" i="2"/>
  <c r="O1060" i="2"/>
  <c r="O1061" i="2"/>
  <c r="O1064" i="2"/>
  <c r="O1065" i="2"/>
  <c r="O1067" i="2"/>
  <c r="O1068" i="2"/>
  <c r="O1069" i="2"/>
  <c r="O1070" i="2"/>
  <c r="O1071" i="2"/>
  <c r="O1072" i="2"/>
  <c r="O1073" i="2"/>
  <c r="O1074" i="2"/>
  <c r="O1076" i="2"/>
  <c r="O1077" i="2"/>
  <c r="O1078" i="2"/>
  <c r="O1079" i="2"/>
  <c r="O1080" i="2"/>
  <c r="O1082" i="2"/>
  <c r="O1083" i="2"/>
  <c r="O1084" i="2"/>
  <c r="O1085" i="2"/>
  <c r="O1086" i="2"/>
  <c r="O1087" i="2"/>
  <c r="O1088" i="2"/>
  <c r="O1089" i="2"/>
  <c r="O1090" i="2"/>
  <c r="O1091" i="2"/>
  <c r="O1092" i="2"/>
  <c r="O1093" i="2"/>
  <c r="O1094" i="2"/>
  <c r="O1095" i="2"/>
  <c r="O1096" i="2"/>
  <c r="O1097" i="2"/>
  <c r="O1098" i="2"/>
  <c r="O1099" i="2"/>
  <c r="O1100" i="2"/>
  <c r="O1101" i="2"/>
  <c r="O1102" i="2"/>
  <c r="O1103" i="2"/>
  <c r="O1104" i="2"/>
  <c r="O1105" i="2"/>
  <c r="O1106" i="2"/>
  <c r="O1107" i="2"/>
  <c r="O1108" i="2"/>
  <c r="O1109" i="2"/>
  <c r="O1110" i="2"/>
  <c r="O1111" i="2"/>
  <c r="O1112" i="2"/>
  <c r="O1113" i="2"/>
  <c r="O1114" i="2"/>
  <c r="O1115" i="2"/>
  <c r="O1116" i="2"/>
  <c r="O1117" i="2"/>
  <c r="O1118" i="2"/>
  <c r="O1119" i="2"/>
  <c r="O1120" i="2"/>
  <c r="O1121" i="2"/>
  <c r="O1122" i="2"/>
  <c r="O1123" i="2"/>
  <c r="O1124" i="2"/>
  <c r="O1125" i="2"/>
  <c r="O1126" i="2"/>
  <c r="O1127" i="2"/>
  <c r="O1128" i="2"/>
  <c r="O1129" i="2"/>
  <c r="O1130" i="2"/>
  <c r="O1131" i="2"/>
  <c r="O1132" i="2"/>
  <c r="O1133" i="2"/>
  <c r="O1134" i="2"/>
  <c r="O1135" i="2"/>
  <c r="O1136" i="2"/>
  <c r="O1137" i="2"/>
  <c r="O1138" i="2"/>
  <c r="O1139" i="2"/>
  <c r="O1140" i="2"/>
  <c r="O1141" i="2"/>
  <c r="O1142" i="2"/>
  <c r="O1143" i="2"/>
  <c r="O1144" i="2"/>
  <c r="O1145" i="2"/>
  <c r="O1146" i="2"/>
  <c r="O1147" i="2"/>
  <c r="O1148" i="2"/>
  <c r="O1149" i="2"/>
  <c r="O1153" i="2"/>
  <c r="O1155" i="2"/>
  <c r="O1156" i="2"/>
  <c r="O1157" i="2"/>
  <c r="O1158" i="2"/>
  <c r="O1159" i="2"/>
  <c r="O1160" i="2"/>
  <c r="O1161" i="2"/>
  <c r="O1163" i="2"/>
  <c r="O1164" i="2"/>
  <c r="O1165" i="2"/>
  <c r="O1166" i="2"/>
  <c r="O1167" i="2"/>
  <c r="O1168" i="2"/>
  <c r="O1169" i="2"/>
  <c r="O1170" i="2"/>
  <c r="O1171" i="2"/>
  <c r="O1174" i="2"/>
  <c r="O1175" i="2"/>
  <c r="O1176" i="2"/>
  <c r="O1177" i="2"/>
  <c r="O1178" i="2"/>
  <c r="O1179" i="2"/>
  <c r="O1180" i="2"/>
  <c r="O1181" i="2"/>
  <c r="O1182" i="2"/>
  <c r="O1183" i="2"/>
  <c r="O1184" i="2"/>
  <c r="O1185" i="2"/>
  <c r="O1186" i="2"/>
  <c r="O1187" i="2"/>
  <c r="O1188" i="2"/>
  <c r="O1189" i="2"/>
  <c r="O1190" i="2"/>
  <c r="O1191" i="2"/>
  <c r="O1192" i="2"/>
  <c r="O1194" i="2"/>
  <c r="O1195" i="2"/>
  <c r="O1196" i="2"/>
  <c r="O1197" i="2"/>
  <c r="O1198" i="2"/>
  <c r="O1199" i="2"/>
  <c r="O1200" i="2"/>
  <c r="O1201" i="2"/>
  <c r="O1202" i="2"/>
  <c r="O1203" i="2"/>
  <c r="O1204" i="2"/>
  <c r="O1205" i="2"/>
  <c r="O1206" i="2"/>
  <c r="O1207" i="2"/>
  <c r="O1208" i="2"/>
  <c r="O1211" i="2"/>
  <c r="O1212" i="2"/>
  <c r="O1213" i="2"/>
  <c r="O1214" i="2"/>
  <c r="O1216" i="2"/>
  <c r="O1217" i="2"/>
  <c r="O1218" i="2"/>
  <c r="O1219" i="2"/>
  <c r="O1220" i="2"/>
  <c r="O1221" i="2"/>
  <c r="O1222" i="2"/>
  <c r="O1223" i="2"/>
  <c r="O1224" i="2"/>
  <c r="O1225" i="2"/>
  <c r="O1226" i="2"/>
  <c r="O1227" i="2"/>
  <c r="O1229" i="2"/>
  <c r="O1230" i="2"/>
  <c r="O1231" i="2"/>
  <c r="O1232" i="2"/>
  <c r="O1233" i="2"/>
  <c r="O1234" i="2"/>
  <c r="O1235" i="2"/>
  <c r="O1236" i="2"/>
  <c r="O1237" i="2"/>
  <c r="O1238" i="2"/>
  <c r="O1239" i="2"/>
  <c r="O1240" i="2"/>
  <c r="O1241" i="2"/>
  <c r="O1242" i="2"/>
  <c r="O1243" i="2"/>
  <c r="O1247" i="2"/>
  <c r="O1248" i="2"/>
  <c r="O1250" i="2"/>
  <c r="O1251" i="2"/>
  <c r="O1253" i="2"/>
  <c r="O1255" i="2"/>
  <c r="O1257" i="2"/>
  <c r="O1258" i="2"/>
  <c r="O1259" i="2"/>
  <c r="O1260" i="2"/>
  <c r="O1261" i="2"/>
  <c r="O1262" i="2"/>
  <c r="O1263" i="2"/>
  <c r="O1264" i="2"/>
  <c r="O1265" i="2"/>
  <c r="O1266" i="2"/>
  <c r="O1268" i="2"/>
  <c r="O1269" i="2"/>
  <c r="O1270" i="2"/>
  <c r="O1271" i="2"/>
  <c r="O1272" i="2"/>
  <c r="O1273" i="2"/>
  <c r="O1274" i="2"/>
  <c r="O1275" i="2"/>
  <c r="O1276" i="2"/>
  <c r="O1277" i="2"/>
  <c r="O1278" i="2"/>
  <c r="O1279" i="2"/>
  <c r="O1280" i="2"/>
  <c r="O1281" i="2"/>
  <c r="O1282" i="2"/>
  <c r="O1283" i="2"/>
  <c r="O1284" i="2"/>
  <c r="O1285" i="2"/>
  <c r="O1286" i="2"/>
  <c r="O1289" i="2"/>
  <c r="O1290" i="2"/>
  <c r="O1291" i="2"/>
  <c r="O1293" i="2"/>
  <c r="O1294" i="2"/>
  <c r="O1295" i="2"/>
  <c r="O1296" i="2"/>
  <c r="O1297" i="2"/>
  <c r="O1298" i="2"/>
  <c r="O1299" i="2"/>
  <c r="O1300" i="2"/>
  <c r="O1301" i="2"/>
  <c r="O1302" i="2"/>
  <c r="O1303" i="2"/>
  <c r="O1304" i="2"/>
  <c r="O1305" i="2"/>
  <c r="O1306" i="2"/>
  <c r="O1307" i="2"/>
  <c r="O1308" i="2"/>
  <c r="O1309" i="2"/>
  <c r="O1310" i="2"/>
  <c r="O1311" i="2"/>
  <c r="O1312" i="2"/>
  <c r="O1313" i="2"/>
  <c r="O1314" i="2"/>
  <c r="O1315" i="2"/>
  <c r="O1316" i="2"/>
  <c r="O1317" i="2"/>
  <c r="O1318" i="2"/>
  <c r="O1322" i="2"/>
  <c r="O1323" i="2"/>
  <c r="O1324" i="2"/>
  <c r="O1325" i="2"/>
  <c r="O1326" i="2"/>
  <c r="O1327" i="2"/>
  <c r="O1328" i="2"/>
  <c r="O1330" i="2"/>
  <c r="O1332" i="2"/>
  <c r="O1333" i="2"/>
  <c r="O1334" i="2"/>
  <c r="O1335" i="2"/>
  <c r="O1336" i="2"/>
  <c r="O1337" i="2"/>
  <c r="O1338" i="2"/>
  <c r="O1339" i="2"/>
  <c r="O1340" i="2"/>
  <c r="O1341" i="2"/>
  <c r="O1343" i="2"/>
  <c r="O1344" i="2"/>
  <c r="O1345" i="2"/>
  <c r="O1346" i="2"/>
  <c r="O1347" i="2"/>
  <c r="O1348" i="2"/>
  <c r="O1349" i="2"/>
  <c r="O1350" i="2"/>
  <c r="O1351" i="2"/>
  <c r="O1352" i="2"/>
  <c r="O1353" i="2"/>
  <c r="O1354" i="2"/>
  <c r="O1355" i="2"/>
  <c r="O1356" i="2"/>
  <c r="O1359" i="2"/>
  <c r="O1360" i="2"/>
  <c r="O1361" i="2"/>
  <c r="O1362" i="2"/>
  <c r="O1363" i="2"/>
  <c r="O1364" i="2"/>
  <c r="O1365" i="2"/>
  <c r="O1366" i="2"/>
  <c r="O1367" i="2"/>
  <c r="O1369" i="2"/>
  <c r="O1370" i="2"/>
  <c r="O1371" i="2"/>
  <c r="O1372" i="2"/>
  <c r="O1373" i="2"/>
  <c r="O1374" i="2"/>
  <c r="O1375" i="2"/>
  <c r="O1376" i="2"/>
  <c r="O1377" i="2"/>
  <c r="O1378" i="2"/>
  <c r="O1379" i="2"/>
  <c r="O1380" i="2"/>
  <c r="O1381" i="2"/>
  <c r="O1382" i="2"/>
  <c r="O1383" i="2"/>
  <c r="O1384" i="2"/>
  <c r="O1385" i="2"/>
  <c r="O1386" i="2"/>
  <c r="O1387" i="2"/>
  <c r="O1388" i="2"/>
  <c r="O1389" i="2"/>
  <c r="O1390" i="2"/>
  <c r="O1391" i="2"/>
  <c r="O1392" i="2"/>
  <c r="O1393" i="2"/>
  <c r="O1394" i="2"/>
  <c r="O1395" i="2"/>
  <c r="O1396" i="2"/>
  <c r="O1398" i="2"/>
  <c r="O1399" i="2"/>
  <c r="O1400" i="2"/>
  <c r="O1401" i="2"/>
  <c r="O1402" i="2"/>
  <c r="O1403" i="2"/>
  <c r="O1404" i="2"/>
  <c r="O1405" i="2"/>
  <c r="O1406" i="2"/>
  <c r="O1407" i="2"/>
  <c r="O1408" i="2"/>
  <c r="O1409" i="2"/>
  <c r="O1411" i="2"/>
  <c r="O1412" i="2"/>
  <c r="O1413" i="2"/>
  <c r="O1414" i="2"/>
  <c r="O1416" i="2"/>
  <c r="O1418" i="2"/>
  <c r="O1420" i="2"/>
  <c r="O1421" i="2"/>
  <c r="O1422" i="2"/>
  <c r="O1423" i="2"/>
  <c r="O1424" i="2"/>
  <c r="O1425" i="2"/>
  <c r="O1426" i="2"/>
  <c r="O1427" i="2"/>
  <c r="O1428" i="2"/>
  <c r="O1429" i="2"/>
  <c r="O1430" i="2"/>
  <c r="O1431" i="2"/>
  <c r="O1432" i="2"/>
  <c r="O1433" i="2"/>
  <c r="O1434" i="2"/>
  <c r="O1435" i="2"/>
  <c r="O1436" i="2"/>
  <c r="O1437" i="2"/>
  <c r="O1438" i="2"/>
  <c r="O1439" i="2"/>
  <c r="O1441" i="2"/>
  <c r="O1442" i="2"/>
  <c r="O1443" i="2"/>
  <c r="O1445" i="2"/>
  <c r="O1446" i="2"/>
  <c r="O1447" i="2"/>
  <c r="O1448" i="2"/>
  <c r="O1449" i="2"/>
  <c r="O1450" i="2"/>
  <c r="O1451" i="2"/>
  <c r="O1452" i="2"/>
  <c r="O1453" i="2"/>
  <c r="O1454" i="2"/>
  <c r="O1455" i="2"/>
  <c r="O1456" i="2"/>
  <c r="O1458" i="2"/>
  <c r="O1459" i="2"/>
  <c r="O1461" i="2"/>
  <c r="O1462" i="2"/>
  <c r="O1463" i="2"/>
  <c r="O1465" i="2"/>
  <c r="O1466" i="2"/>
  <c r="O1467" i="2"/>
  <c r="O1468" i="2"/>
  <c r="O1470" i="2"/>
  <c r="O1471" i="2"/>
  <c r="O1472" i="2"/>
  <c r="O1473" i="2"/>
  <c r="O1474" i="2"/>
  <c r="O1475" i="2"/>
  <c r="O1476" i="2"/>
  <c r="O1477" i="2"/>
  <c r="O1478" i="2"/>
  <c r="O1479" i="2"/>
  <c r="O1480" i="2"/>
  <c r="O1482" i="2"/>
  <c r="O1483" i="2"/>
  <c r="O1484" i="2"/>
  <c r="O1485" i="2"/>
  <c r="O1486" i="2"/>
  <c r="O1487" i="2"/>
  <c r="O1488" i="2"/>
  <c r="O1489" i="2"/>
  <c r="O1490" i="2"/>
  <c r="O1491" i="2"/>
  <c r="O1492" i="2"/>
  <c r="O1493" i="2"/>
  <c r="O1494" i="2"/>
  <c r="O1495" i="2"/>
  <c r="O1496" i="2"/>
  <c r="O1497" i="2"/>
  <c r="O1498" i="2"/>
  <c r="O1499" i="2"/>
  <c r="O1500" i="2"/>
  <c r="O1501" i="2"/>
  <c r="O1502" i="2"/>
  <c r="O1503" i="2"/>
  <c r="O1504" i="2"/>
  <c r="O1505" i="2"/>
  <c r="O1506" i="2"/>
  <c r="O1508" i="2"/>
  <c r="O1509" i="2"/>
  <c r="O1510" i="2"/>
  <c r="O1511" i="2"/>
  <c r="O1512" i="2"/>
  <c r="O1513" i="2"/>
  <c r="O1514" i="2"/>
  <c r="O1515" i="2"/>
  <c r="O1516" i="2"/>
  <c r="O1517" i="2"/>
  <c r="O1518" i="2"/>
  <c r="O1519" i="2"/>
  <c r="O1521" i="2"/>
  <c r="O1522" i="2"/>
  <c r="O1524" i="2"/>
  <c r="O1525" i="2"/>
  <c r="O1526" i="2"/>
  <c r="O1527" i="2"/>
  <c r="O1528" i="2"/>
  <c r="O1529" i="2"/>
  <c r="O1530" i="2"/>
  <c r="O1531" i="2"/>
  <c r="O1532" i="2"/>
  <c r="O1533" i="2"/>
  <c r="O1534" i="2"/>
  <c r="O1535" i="2"/>
  <c r="O1536" i="2"/>
  <c r="O1537" i="2"/>
  <c r="O1538" i="2"/>
  <c r="O1539" i="2"/>
  <c r="O1540" i="2"/>
  <c r="O1541" i="2"/>
  <c r="O1542" i="2"/>
  <c r="O1543" i="2"/>
  <c r="O1544" i="2"/>
  <c r="O1545" i="2"/>
  <c r="O1546" i="2"/>
  <c r="O1547" i="2"/>
  <c r="O1548" i="2"/>
  <c r="O1549" i="2"/>
  <c r="O1550" i="2"/>
  <c r="O1552" i="2"/>
  <c r="O1553" i="2"/>
  <c r="O1554" i="2"/>
  <c r="O1555" i="2"/>
  <c r="O1557" i="2"/>
  <c r="O1559" i="2"/>
  <c r="O1560" i="2"/>
  <c r="O1561" i="2"/>
  <c r="O1562" i="2"/>
  <c r="O1563" i="2"/>
  <c r="O1564" i="2"/>
  <c r="O1565" i="2"/>
  <c r="O1567" i="2"/>
  <c r="O1568" i="2"/>
  <c r="O1569" i="2"/>
  <c r="O1570" i="2"/>
  <c r="O1571" i="2"/>
  <c r="O1572" i="2"/>
  <c r="O1573" i="2"/>
  <c r="O1574" i="2"/>
  <c r="O1575" i="2"/>
  <c r="O1576" i="2"/>
  <c r="O1578" i="2"/>
  <c r="O1579" i="2"/>
  <c r="O1581" i="2"/>
  <c r="O1582" i="2"/>
  <c r="O1583" i="2"/>
  <c r="O1584" i="2"/>
  <c r="O1585" i="2"/>
  <c r="O1586" i="2"/>
  <c r="O1587" i="2"/>
  <c r="O1588" i="2"/>
  <c r="O1589" i="2"/>
  <c r="O1590" i="2"/>
  <c r="O1591" i="2"/>
  <c r="O1592" i="2"/>
  <c r="O1593" i="2"/>
  <c r="O1594" i="2"/>
  <c r="O1595" i="2"/>
  <c r="O1597" i="2"/>
  <c r="O1598" i="2"/>
  <c r="O1599" i="2"/>
  <c r="O1600" i="2"/>
  <c r="O1601" i="2"/>
  <c r="O1602" i="2"/>
  <c r="O1603" i="2"/>
  <c r="O1604" i="2"/>
  <c r="O1605" i="2"/>
  <c r="O1606" i="2"/>
  <c r="O1607" i="2"/>
  <c r="O1608" i="2"/>
  <c r="O1609" i="2"/>
  <c r="O1610" i="2"/>
  <c r="O1611" i="2"/>
  <c r="O1612" i="2"/>
  <c r="O1613" i="2"/>
  <c r="O1614" i="2"/>
  <c r="O1615" i="2"/>
  <c r="O1616" i="2"/>
  <c r="O1617" i="2"/>
  <c r="O1618" i="2"/>
  <c r="O1619" i="2"/>
  <c r="O1620" i="2"/>
  <c r="O1622" i="2"/>
  <c r="O1623" i="2"/>
  <c r="O1625" i="2"/>
  <c r="O1626" i="2"/>
  <c r="O1627" i="2"/>
  <c r="O1628" i="2"/>
  <c r="O1629" i="2"/>
  <c r="O1630" i="2"/>
  <c r="O1631" i="2"/>
  <c r="O1632" i="2"/>
  <c r="O1633" i="2"/>
  <c r="O1634" i="2"/>
  <c r="O1635" i="2"/>
  <c r="O1636" i="2"/>
  <c r="O1637" i="2"/>
  <c r="O1638" i="2"/>
  <c r="O1639" i="2"/>
  <c r="O1640" i="2"/>
  <c r="O1641" i="2"/>
  <c r="O1642" i="2"/>
  <c r="O1643" i="2"/>
  <c r="O1644" i="2"/>
  <c r="O1645" i="2"/>
  <c r="O1646" i="2"/>
  <c r="O1647" i="2"/>
  <c r="O1648" i="2"/>
  <c r="O1649" i="2"/>
  <c r="O1650" i="2"/>
  <c r="O1651" i="2"/>
  <c r="O1652" i="2"/>
  <c r="O1653" i="2"/>
  <c r="O1654" i="2"/>
  <c r="O1655" i="2"/>
  <c r="O1656" i="2"/>
  <c r="O1657" i="2"/>
  <c r="O1658" i="2"/>
  <c r="O1661" i="2"/>
  <c r="O1662" i="2"/>
  <c r="O1663" i="2"/>
  <c r="O1664" i="2"/>
  <c r="O1665" i="2"/>
  <c r="O1666" i="2"/>
  <c r="O1667" i="2"/>
  <c r="O1668" i="2"/>
  <c r="O1669" i="2"/>
  <c r="O1670" i="2"/>
  <c r="O1671" i="2"/>
  <c r="O1672" i="2"/>
  <c r="O1673" i="2"/>
  <c r="O1674" i="2"/>
  <c r="O1675" i="2"/>
  <c r="O1676" i="2"/>
  <c r="O1677" i="2"/>
  <c r="O1678" i="2"/>
  <c r="O1679" i="2"/>
  <c r="O1680" i="2"/>
  <c r="O1681" i="2"/>
  <c r="O1682" i="2"/>
  <c r="O1683" i="2"/>
  <c r="O1684" i="2"/>
  <c r="O1685" i="2"/>
  <c r="O1686" i="2"/>
  <c r="O1687" i="2"/>
  <c r="O1688" i="2"/>
  <c r="O1689" i="2"/>
  <c r="O1690" i="2"/>
  <c r="O1691" i="2"/>
  <c r="O1692" i="2"/>
  <c r="O1693" i="2"/>
  <c r="O1694" i="2"/>
  <c r="O1695" i="2"/>
  <c r="O1696" i="2"/>
  <c r="O1697" i="2"/>
  <c r="O1698" i="2"/>
  <c r="O1699" i="2"/>
  <c r="O1700" i="2"/>
  <c r="O1701" i="2"/>
  <c r="O1702" i="2"/>
  <c r="O1703" i="2"/>
  <c r="O1704" i="2"/>
  <c r="O1705" i="2"/>
  <c r="O1706" i="2"/>
  <c r="O1707" i="2"/>
  <c r="O1708" i="2"/>
  <c r="O1709" i="2"/>
  <c r="O1710" i="2"/>
  <c r="O1711" i="2"/>
  <c r="O1712" i="2"/>
  <c r="O1713" i="2"/>
  <c r="O1714" i="2"/>
  <c r="O1715" i="2"/>
  <c r="O1716" i="2"/>
  <c r="O1717" i="2"/>
  <c r="O1718" i="2"/>
  <c r="O1719" i="2"/>
  <c r="O1720" i="2"/>
  <c r="O1721" i="2"/>
  <c r="O1722" i="2"/>
  <c r="O1723" i="2"/>
  <c r="O1724" i="2"/>
  <c r="O1725" i="2"/>
  <c r="O1726" i="2"/>
  <c r="O1727" i="2"/>
  <c r="O1728" i="2"/>
  <c r="O1729" i="2"/>
  <c r="O1730" i="2"/>
  <c r="O1731" i="2"/>
  <c r="O1732" i="2"/>
  <c r="O1733" i="2"/>
  <c r="O1734" i="2"/>
  <c r="O1735" i="2"/>
  <c r="O1736" i="2"/>
  <c r="O1737" i="2"/>
  <c r="O1738" i="2"/>
  <c r="O1739" i="2"/>
  <c r="O1740" i="2"/>
  <c r="O1741" i="2"/>
  <c r="O1742" i="2"/>
  <c r="O1743" i="2"/>
  <c r="O1744" i="2"/>
  <c r="O1745" i="2"/>
  <c r="O1746" i="2"/>
  <c r="O1747" i="2"/>
  <c r="O1748" i="2"/>
  <c r="O1749" i="2"/>
  <c r="O1750" i="2"/>
  <c r="O1751" i="2"/>
  <c r="O1752" i="2"/>
  <c r="O1753" i="2"/>
  <c r="O1754" i="2"/>
  <c r="O1755" i="2"/>
  <c r="O1756" i="2"/>
  <c r="O1757" i="2"/>
  <c r="O1758" i="2"/>
  <c r="O1759" i="2"/>
  <c r="O1760" i="2"/>
  <c r="O1761" i="2"/>
  <c r="O1762" i="2"/>
  <c r="O1763" i="2"/>
  <c r="O1764" i="2"/>
  <c r="O1765" i="2"/>
  <c r="O1766" i="2"/>
  <c r="O1767" i="2"/>
  <c r="O1768" i="2"/>
  <c r="O1769" i="2"/>
  <c r="O1770" i="2"/>
  <c r="O1771" i="2"/>
  <c r="O1772" i="2"/>
  <c r="O1773" i="2"/>
  <c r="O1774" i="2"/>
  <c r="O1775" i="2"/>
  <c r="O1776" i="2"/>
  <c r="O1777" i="2"/>
  <c r="O1778" i="2"/>
  <c r="O1779" i="2"/>
  <c r="O1780" i="2"/>
  <c r="O1781" i="2"/>
  <c r="O1782" i="2"/>
  <c r="O1783" i="2"/>
  <c r="O1784" i="2"/>
  <c r="O1785" i="2"/>
  <c r="O1786" i="2"/>
  <c r="O1787" i="2"/>
  <c r="O1788" i="2"/>
  <c r="O1789" i="2"/>
  <c r="O10" i="2"/>
  <c r="D57" i="31" l="1"/>
  <c r="B4" i="39"/>
  <c r="I783" i="2" l="1"/>
  <c r="J17" i="28" l="1"/>
  <c r="A16" i="39"/>
  <c r="A17" i="39"/>
  <c r="A18" i="39"/>
  <c r="A19" i="39"/>
  <c r="A20" i="39"/>
  <c r="A21" i="39"/>
  <c r="A22" i="39"/>
  <c r="A23" i="39"/>
  <c r="A24" i="39"/>
  <c r="A25" i="39"/>
  <c r="A26" i="39"/>
  <c r="A27" i="39"/>
  <c r="A28" i="39"/>
  <c r="A29" i="39"/>
  <c r="A30" i="39"/>
  <c r="A31" i="39"/>
  <c r="A32" i="39"/>
  <c r="A33" i="39"/>
  <c r="A34" i="39"/>
  <c r="A35" i="39"/>
  <c r="A36" i="39"/>
  <c r="A37" i="39"/>
  <c r="A38" i="39"/>
  <c r="A39" i="39"/>
  <c r="A40" i="39"/>
  <c r="A41" i="39"/>
  <c r="A42" i="39"/>
  <c r="A43" i="39"/>
  <c r="A44" i="39"/>
  <c r="A45" i="39"/>
  <c r="A46" i="39"/>
  <c r="A47" i="39"/>
  <c r="A48" i="39"/>
  <c r="A49" i="39"/>
  <c r="A50" i="39"/>
  <c r="A51" i="39"/>
  <c r="A52" i="39"/>
  <c r="A53" i="39"/>
  <c r="A54" i="39"/>
  <c r="A55" i="39"/>
  <c r="A56" i="39"/>
  <c r="A57" i="39"/>
  <c r="A58" i="39"/>
  <c r="A59" i="39"/>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11" i="31"/>
  <c r="Z910" i="2"/>
  <c r="Z909" i="2"/>
  <c r="Z908" i="2"/>
  <c r="Z907" i="2"/>
  <c r="Z906" i="2"/>
  <c r="U906" i="2"/>
  <c r="T906" i="2" s="1"/>
  <c r="Z905" i="2"/>
  <c r="Z904" i="2"/>
  <c r="Z903" i="2"/>
  <c r="Z902" i="2"/>
  <c r="Z901" i="2"/>
  <c r="U901" i="2"/>
  <c r="T901" i="2" s="1"/>
  <c r="Z900" i="2"/>
  <c r="Z899" i="2"/>
  <c r="Z898" i="2"/>
  <c r="Z897" i="2"/>
  <c r="Z896" i="2"/>
  <c r="Z895" i="2"/>
  <c r="U895" i="2"/>
  <c r="T895" i="2" s="1"/>
  <c r="Z894" i="2"/>
  <c r="Z893" i="2"/>
  <c r="Z892" i="2"/>
  <c r="Z891" i="2"/>
  <c r="U891" i="2"/>
  <c r="T891" i="2" s="1"/>
  <c r="Z890" i="2"/>
  <c r="U890" i="2"/>
  <c r="T890" i="2" s="1"/>
  <c r="Z889" i="2"/>
  <c r="U889" i="2"/>
  <c r="T889" i="2" s="1"/>
  <c r="Z888" i="2"/>
  <c r="Z887" i="2"/>
  <c r="Z886" i="2"/>
  <c r="Z885" i="2"/>
  <c r="Z884" i="2"/>
  <c r="I884" i="2"/>
  <c r="M884" i="2" s="1"/>
  <c r="I885" i="2"/>
  <c r="L885" i="2" s="1"/>
  <c r="Q885" i="2" s="1"/>
  <c r="I886" i="2"/>
  <c r="M886" i="2" s="1"/>
  <c r="I887" i="2"/>
  <c r="M887" i="2" s="1"/>
  <c r="I888" i="2"/>
  <c r="K888" i="2" s="1"/>
  <c r="I889" i="2"/>
  <c r="L889" i="2" s="1"/>
  <c r="Q889" i="2" s="1"/>
  <c r="I890" i="2"/>
  <c r="M890" i="2" s="1"/>
  <c r="I891" i="2"/>
  <c r="M891" i="2" s="1"/>
  <c r="I892" i="2"/>
  <c r="M892" i="2" s="1"/>
  <c r="I893" i="2"/>
  <c r="L893" i="2" s="1"/>
  <c r="Q893" i="2" s="1"/>
  <c r="I894" i="2"/>
  <c r="M894" i="2" s="1"/>
  <c r="I895" i="2"/>
  <c r="M895" i="2" s="1"/>
  <c r="I896" i="2"/>
  <c r="L896" i="2" s="1"/>
  <c r="Q896" i="2" s="1"/>
  <c r="I897" i="2"/>
  <c r="M897" i="2" s="1"/>
  <c r="I898" i="2"/>
  <c r="L898" i="2" s="1"/>
  <c r="Q898" i="2" s="1"/>
  <c r="I899" i="2"/>
  <c r="L899" i="2" s="1"/>
  <c r="I900" i="2"/>
  <c r="M900" i="2" s="1"/>
  <c r="I901" i="2"/>
  <c r="M901" i="2" s="1"/>
  <c r="I902" i="2"/>
  <c r="M902" i="2" s="1"/>
  <c r="I903" i="2"/>
  <c r="M903" i="2" s="1"/>
  <c r="I904" i="2"/>
  <c r="L904" i="2" s="1"/>
  <c r="Q904" i="2" s="1"/>
  <c r="I905" i="2"/>
  <c r="K905" i="2" s="1"/>
  <c r="I906" i="2"/>
  <c r="M906" i="2" s="1"/>
  <c r="I907" i="2"/>
  <c r="M907" i="2" s="1"/>
  <c r="I908" i="2"/>
  <c r="M908" i="2" s="1"/>
  <c r="I909" i="2"/>
  <c r="M909" i="2" s="1"/>
  <c r="I910" i="2"/>
  <c r="K910" i="2" s="1"/>
  <c r="Z1355" i="2"/>
  <c r="U1355" i="2"/>
  <c r="T1355" i="2"/>
  <c r="Z1354" i="2"/>
  <c r="Z1353" i="2"/>
  <c r="U1353" i="2"/>
  <c r="T1353" i="2"/>
  <c r="Z1352" i="2"/>
  <c r="Z1351" i="2"/>
  <c r="Z1350" i="2"/>
  <c r="Z1349" i="2"/>
  <c r="Z1348" i="2"/>
  <c r="Z1347" i="2"/>
  <c r="Z1346" i="2"/>
  <c r="Z1345" i="2"/>
  <c r="Z1344" i="2"/>
  <c r="Z1343" i="2"/>
  <c r="Z1342" i="2"/>
  <c r="Z1341" i="2"/>
  <c r="Z1340" i="2"/>
  <c r="Z1339" i="2"/>
  <c r="Z1338" i="2"/>
  <c r="Z1337" i="2"/>
  <c r="Z1336" i="2"/>
  <c r="Z1335" i="2"/>
  <c r="Z1334" i="2"/>
  <c r="Z1333" i="2"/>
  <c r="Z1332" i="2"/>
  <c r="Z1331" i="2"/>
  <c r="Z1330" i="2"/>
  <c r="Z1329" i="2"/>
  <c r="I1328" i="2"/>
  <c r="I1329" i="2"/>
  <c r="M1329" i="2" s="1"/>
  <c r="I1330" i="2"/>
  <c r="M1330" i="2" s="1"/>
  <c r="I1331" i="2"/>
  <c r="M1331" i="2" s="1"/>
  <c r="I1332" i="2"/>
  <c r="L1332" i="2" s="1"/>
  <c r="Q1332" i="2" s="1"/>
  <c r="I1333" i="2"/>
  <c r="M1333" i="2" s="1"/>
  <c r="I1334" i="2"/>
  <c r="M1334" i="2" s="1"/>
  <c r="I1335" i="2"/>
  <c r="K1335" i="2" s="1"/>
  <c r="I1336" i="2"/>
  <c r="M1336" i="2" s="1"/>
  <c r="I1337" i="2"/>
  <c r="M1337" i="2" s="1"/>
  <c r="I1338" i="2"/>
  <c r="M1338" i="2" s="1"/>
  <c r="I1339" i="2"/>
  <c r="M1339" i="2" s="1"/>
  <c r="I1340" i="2"/>
  <c r="L1340" i="2" s="1"/>
  <c r="Q1340" i="2" s="1"/>
  <c r="I1341" i="2"/>
  <c r="M1341" i="2" s="1"/>
  <c r="I1342" i="2"/>
  <c r="M1342" i="2" s="1"/>
  <c r="I1343" i="2"/>
  <c r="K1343" i="2" s="1"/>
  <c r="I1344" i="2"/>
  <c r="M1344" i="2" s="1"/>
  <c r="I1345" i="2"/>
  <c r="M1345" i="2" s="1"/>
  <c r="I1346" i="2"/>
  <c r="M1346" i="2" s="1"/>
  <c r="I1347" i="2"/>
  <c r="M1347" i="2" s="1"/>
  <c r="I1348" i="2"/>
  <c r="L1348" i="2" s="1"/>
  <c r="Q1348" i="2" s="1"/>
  <c r="I1349" i="2"/>
  <c r="M1349" i="2" s="1"/>
  <c r="I1350" i="2"/>
  <c r="M1350" i="2" s="1"/>
  <c r="I1351" i="2"/>
  <c r="K1351" i="2" s="1"/>
  <c r="I1352" i="2"/>
  <c r="M1352" i="2" s="1"/>
  <c r="I1353" i="2"/>
  <c r="M1353" i="2" s="1"/>
  <c r="I1354" i="2"/>
  <c r="M1354" i="2" s="1"/>
  <c r="I1355" i="2"/>
  <c r="M1355" i="2" s="1"/>
  <c r="M889" i="2" l="1"/>
  <c r="K884" i="2"/>
  <c r="K889" i="2"/>
  <c r="L905" i="2"/>
  <c r="Q905" i="2" s="1"/>
  <c r="L886" i="2"/>
  <c r="Q886" i="2" s="1"/>
  <c r="M898" i="2"/>
  <c r="L910" i="2"/>
  <c r="Q910" i="2" s="1"/>
  <c r="L888" i="2"/>
  <c r="Q888" i="2" s="1"/>
  <c r="L897" i="2"/>
  <c r="Q897" i="2" s="1"/>
  <c r="M904" i="2"/>
  <c r="M885" i="2"/>
  <c r="K886" i="2"/>
  <c r="M888" i="2"/>
  <c r="M896" i="2"/>
  <c r="L902" i="2"/>
  <c r="Q902" i="2" s="1"/>
  <c r="M893" i="2"/>
  <c r="K894" i="2"/>
  <c r="L894" i="2"/>
  <c r="Q894" i="2" s="1"/>
  <c r="K900" i="2"/>
  <c r="K895" i="2"/>
  <c r="M899" i="2"/>
  <c r="L884" i="2"/>
  <c r="Q884" i="2" s="1"/>
  <c r="K885" i="2"/>
  <c r="K890" i="2"/>
  <c r="L895" i="2"/>
  <c r="Q895" i="2" s="1"/>
  <c r="L900" i="2"/>
  <c r="Q900" i="2" s="1"/>
  <c r="K901" i="2"/>
  <c r="M905" i="2"/>
  <c r="K906" i="2"/>
  <c r="M910" i="2"/>
  <c r="L890" i="2"/>
  <c r="Q890" i="2" s="1"/>
  <c r="K891" i="2"/>
  <c r="K896" i="2"/>
  <c r="L901" i="2"/>
  <c r="Q901" i="2" s="1"/>
  <c r="L906" i="2"/>
  <c r="Q906" i="2" s="1"/>
  <c r="K907" i="2"/>
  <c r="L891" i="2"/>
  <c r="Q891" i="2" s="1"/>
  <c r="K897" i="2"/>
  <c r="K902" i="2"/>
  <c r="L907" i="2"/>
  <c r="Q907" i="2" s="1"/>
  <c r="K887" i="2"/>
  <c r="K892" i="2"/>
  <c r="K903" i="2"/>
  <c r="K908" i="2"/>
  <c r="L887" i="2"/>
  <c r="Q887" i="2" s="1"/>
  <c r="L892" i="2"/>
  <c r="Q892" i="2" s="1"/>
  <c r="K893" i="2"/>
  <c r="K898" i="2"/>
  <c r="L903" i="2"/>
  <c r="Q903" i="2" s="1"/>
  <c r="L908" i="2"/>
  <c r="Q908" i="2" s="1"/>
  <c r="K909" i="2"/>
  <c r="K899" i="2"/>
  <c r="O899" i="2" s="1"/>
  <c r="Q899" i="2" s="1"/>
  <c r="K904" i="2"/>
  <c r="L909" i="2"/>
  <c r="Q909" i="2" s="1"/>
  <c r="L1330" i="2"/>
  <c r="Q1330" i="2" s="1"/>
  <c r="K1341" i="2"/>
  <c r="K1349" i="2"/>
  <c r="M1343" i="2"/>
  <c r="L1346" i="2"/>
  <c r="Q1346" i="2" s="1"/>
  <c r="M1351" i="2"/>
  <c r="K1333" i="2"/>
  <c r="L1354" i="2"/>
  <c r="Q1354" i="2" s="1"/>
  <c r="M1335" i="2"/>
  <c r="L1338" i="2"/>
  <c r="Q1338" i="2" s="1"/>
  <c r="K1330" i="2"/>
  <c r="M1332" i="2"/>
  <c r="L1335" i="2"/>
  <c r="Q1335" i="2" s="1"/>
  <c r="K1338" i="2"/>
  <c r="M1340" i="2"/>
  <c r="L1343" i="2"/>
  <c r="Q1343" i="2" s="1"/>
  <c r="K1346" i="2"/>
  <c r="M1348" i="2"/>
  <c r="L1351" i="2"/>
  <c r="Q1351" i="2" s="1"/>
  <c r="K1354" i="2"/>
  <c r="L1333" i="2"/>
  <c r="Q1333" i="2" s="1"/>
  <c r="K1336" i="2"/>
  <c r="L1341" i="2"/>
  <c r="Q1341" i="2" s="1"/>
  <c r="K1344" i="2"/>
  <c r="L1349" i="2"/>
  <c r="Q1349" i="2" s="1"/>
  <c r="K1352" i="2"/>
  <c r="K1331" i="2"/>
  <c r="O1331" i="2" s="1"/>
  <c r="L1336" i="2"/>
  <c r="Q1336" i="2" s="1"/>
  <c r="K1339" i="2"/>
  <c r="L1344" i="2"/>
  <c r="Q1344" i="2" s="1"/>
  <c r="K1347" i="2"/>
  <c r="L1352" i="2"/>
  <c r="Q1352" i="2" s="1"/>
  <c r="K1355" i="2"/>
  <c r="L1331" i="2"/>
  <c r="K1334" i="2"/>
  <c r="L1339" i="2"/>
  <c r="Q1339" i="2" s="1"/>
  <c r="K1342" i="2"/>
  <c r="O1342" i="2" s="1"/>
  <c r="L1347" i="2"/>
  <c r="Q1347" i="2" s="1"/>
  <c r="K1350" i="2"/>
  <c r="L1355" i="2"/>
  <c r="Q1355" i="2" s="1"/>
  <c r="K1329" i="2"/>
  <c r="O1329" i="2" s="1"/>
  <c r="L1334" i="2"/>
  <c r="Q1334" i="2" s="1"/>
  <c r="K1337" i="2"/>
  <c r="L1342" i="2"/>
  <c r="K1345" i="2"/>
  <c r="L1350" i="2"/>
  <c r="Q1350" i="2" s="1"/>
  <c r="K1353" i="2"/>
  <c r="L1329" i="2"/>
  <c r="K1332" i="2"/>
  <c r="L1337" i="2"/>
  <c r="Q1337" i="2" s="1"/>
  <c r="K1340" i="2"/>
  <c r="L1345" i="2"/>
  <c r="Q1345" i="2" s="1"/>
  <c r="K1348" i="2"/>
  <c r="L1353" i="2"/>
  <c r="Q1353" i="2" s="1"/>
  <c r="Q1329" i="2" l="1"/>
  <c r="Q1342" i="2"/>
  <c r="Q1331" i="2"/>
  <c r="O59" i="39"/>
  <c r="F59" i="39"/>
  <c r="J10" i="28"/>
  <c r="J11" i="28"/>
  <c r="J12" i="28"/>
  <c r="J13" i="28"/>
  <c r="J14" i="28"/>
  <c r="J15" i="28"/>
  <c r="J16" i="28"/>
  <c r="J18" i="28"/>
  <c r="J19" i="28"/>
  <c r="J20" i="28"/>
  <c r="J21" i="28"/>
  <c r="J22" i="28"/>
  <c r="J23" i="28"/>
  <c r="J24" i="28"/>
  <c r="J25" i="28"/>
  <c r="J26" i="28"/>
  <c r="J27" i="28"/>
  <c r="J28" i="28"/>
  <c r="J29" i="28"/>
  <c r="J30" i="28"/>
  <c r="Z1789" i="2"/>
  <c r="Z1788" i="2"/>
  <c r="Z1787" i="2"/>
  <c r="U1787" i="2"/>
  <c r="T1787" i="2"/>
  <c r="Z1786" i="2"/>
  <c r="Z1785" i="2"/>
  <c r="Z1784" i="2"/>
  <c r="Z1783" i="2"/>
  <c r="U1783" i="2"/>
  <c r="T1783" i="2"/>
  <c r="Z1782" i="2"/>
  <c r="Z1781" i="2"/>
  <c r="Z1780" i="2"/>
  <c r="Z1779" i="2"/>
  <c r="U1779" i="2"/>
  <c r="T1779" i="2"/>
  <c r="Z1778" i="2"/>
  <c r="Z1777" i="2"/>
  <c r="Z1776" i="2"/>
  <c r="U1776" i="2"/>
  <c r="T1776" i="2"/>
  <c r="Z1775" i="2"/>
  <c r="U1775" i="2"/>
  <c r="T1775" i="2"/>
  <c r="Z1774" i="2"/>
  <c r="Z1773" i="2"/>
  <c r="Z1772" i="2"/>
  <c r="Z1771" i="2"/>
  <c r="U1771" i="2"/>
  <c r="T1771" i="2"/>
  <c r="Z1770" i="2"/>
  <c r="U1770" i="2"/>
  <c r="T1770" i="2"/>
  <c r="Z1769" i="2"/>
  <c r="Z1768" i="2"/>
  <c r="Z1767" i="2"/>
  <c r="Z1766" i="2"/>
  <c r="Z1765" i="2"/>
  <c r="U1765" i="2"/>
  <c r="T1765" i="2"/>
  <c r="Z1764" i="2"/>
  <c r="Z1763" i="2"/>
  <c r="Z1762" i="2"/>
  <c r="U1762" i="2"/>
  <c r="T1762" i="2"/>
  <c r="Z1761" i="2"/>
  <c r="Z1760" i="2"/>
  <c r="Z1759" i="2"/>
  <c r="Z1758" i="2"/>
  <c r="Z1757" i="2"/>
  <c r="Z1756" i="2"/>
  <c r="Z1755" i="2"/>
  <c r="Z1754" i="2"/>
  <c r="Z1753" i="2"/>
  <c r="Z1752" i="2"/>
  <c r="Z1751" i="2"/>
  <c r="Z1750" i="2"/>
  <c r="Z1749" i="2"/>
  <c r="Z1748" i="2"/>
  <c r="Z1747" i="2"/>
  <c r="Z1746" i="2"/>
  <c r="Z1745" i="2"/>
  <c r="Z1744" i="2"/>
  <c r="U1744" i="2"/>
  <c r="T1744" i="2"/>
  <c r="Z1743" i="2"/>
  <c r="Z1742" i="2"/>
  <c r="Z1741" i="2"/>
  <c r="U1741" i="2"/>
  <c r="T1741" i="2"/>
  <c r="Z1740" i="2"/>
  <c r="U1740" i="2"/>
  <c r="T1740" i="2"/>
  <c r="Z1739" i="2"/>
  <c r="U1739" i="2"/>
  <c r="T1739" i="2"/>
  <c r="Z1738" i="2"/>
  <c r="U1738" i="2"/>
  <c r="T1738" i="2"/>
  <c r="Z1737" i="2"/>
  <c r="U1737" i="2"/>
  <c r="T1737" i="2"/>
  <c r="Z1736" i="2"/>
  <c r="U1736" i="2"/>
  <c r="T1736" i="2"/>
  <c r="Z1735" i="2"/>
  <c r="Z1734" i="2"/>
  <c r="Z1733" i="2"/>
  <c r="Z1732" i="2"/>
  <c r="Z1731" i="2"/>
  <c r="Z1730" i="2"/>
  <c r="Z1729" i="2"/>
  <c r="U1729" i="2"/>
  <c r="T1729" i="2"/>
  <c r="Z1728" i="2"/>
  <c r="Z1727" i="2"/>
  <c r="Z1726" i="2"/>
  <c r="Z1725" i="2"/>
  <c r="Z1724" i="2"/>
  <c r="Z1723" i="2"/>
  <c r="Z1722" i="2"/>
  <c r="Z1721" i="2"/>
  <c r="Z1720" i="2"/>
  <c r="Z1719" i="2"/>
  <c r="Z1718" i="2"/>
  <c r="Z1717" i="2"/>
  <c r="Z1716" i="2"/>
  <c r="U1716" i="2"/>
  <c r="T1716" i="2"/>
  <c r="Z1715" i="2"/>
  <c r="Z1714" i="2"/>
  <c r="Z1713" i="2"/>
  <c r="U1713" i="2"/>
  <c r="T1713" i="2"/>
  <c r="Z1712" i="2"/>
  <c r="Z1711" i="2"/>
  <c r="Z1710" i="2"/>
  <c r="Z1709" i="2"/>
  <c r="Z1708" i="2"/>
  <c r="U1708" i="2"/>
  <c r="T1708" i="2"/>
  <c r="Z1707" i="2"/>
  <c r="U1707" i="2"/>
  <c r="T1707" i="2"/>
  <c r="Z1706" i="2"/>
  <c r="Z1705" i="2"/>
  <c r="Z1704" i="2"/>
  <c r="Z1703" i="2"/>
  <c r="Z1702" i="2"/>
  <c r="Z1701" i="2"/>
  <c r="Z1700" i="2"/>
  <c r="Z1699" i="2"/>
  <c r="Z1698" i="2"/>
  <c r="U1698" i="2"/>
  <c r="T1698" i="2"/>
  <c r="Z1697" i="2"/>
  <c r="Z1696" i="2"/>
  <c r="Z1695" i="2"/>
  <c r="Z1694" i="2"/>
  <c r="U1694" i="2"/>
  <c r="T1694" i="2"/>
  <c r="Z1693" i="2"/>
  <c r="Z1692" i="2"/>
  <c r="Z1691" i="2"/>
  <c r="Z1690" i="2"/>
  <c r="Z1689" i="2"/>
  <c r="Z1688" i="2"/>
  <c r="Z1687" i="2"/>
  <c r="U1687" i="2"/>
  <c r="T1687" i="2"/>
  <c r="Z1686" i="2"/>
  <c r="Z1685" i="2"/>
  <c r="U1685" i="2"/>
  <c r="T1685" i="2"/>
  <c r="Z1684" i="2"/>
  <c r="Z1683" i="2"/>
  <c r="Z1682" i="2"/>
  <c r="Z1681" i="2"/>
  <c r="Z1680" i="2"/>
  <c r="Z1679" i="2"/>
  <c r="Z1678" i="2"/>
  <c r="Z1677" i="2"/>
  <c r="U1677" i="2"/>
  <c r="T1677" i="2"/>
  <c r="Z1676" i="2"/>
  <c r="Z1675" i="2"/>
  <c r="U1675" i="2"/>
  <c r="T1675" i="2"/>
  <c r="Z1674" i="2"/>
  <c r="U1674" i="2"/>
  <c r="T1674" i="2"/>
  <c r="Z1673" i="2"/>
  <c r="U1673" i="2"/>
  <c r="T1673" i="2"/>
  <c r="Z1672" i="2"/>
  <c r="Z1671" i="2"/>
  <c r="Z1670" i="2"/>
  <c r="Z1669" i="2"/>
  <c r="Z1668" i="2"/>
  <c r="Z1667" i="2"/>
  <c r="Z1666" i="2"/>
  <c r="Z1665" i="2"/>
  <c r="Z1664" i="2"/>
  <c r="Z1663" i="2"/>
  <c r="Z1662" i="2"/>
  <c r="Z1661" i="2"/>
  <c r="Z1660" i="2"/>
  <c r="Z1659" i="2"/>
  <c r="Z1658" i="2"/>
  <c r="U1658" i="2"/>
  <c r="T1658" i="2"/>
  <c r="Z1657" i="2"/>
  <c r="Z1656" i="2"/>
  <c r="Z1655" i="2"/>
  <c r="U1655" i="2"/>
  <c r="T1655" i="2"/>
  <c r="Z1654" i="2"/>
  <c r="Z1653" i="2"/>
  <c r="Z1652" i="2"/>
  <c r="U1652" i="2"/>
  <c r="T1652" i="2"/>
  <c r="Z1651" i="2"/>
  <c r="Z1650" i="2"/>
  <c r="Z1649" i="2"/>
  <c r="Z1648" i="2"/>
  <c r="Z1647" i="2"/>
  <c r="Z1646" i="2"/>
  <c r="Z1645" i="2"/>
  <c r="Z1644" i="2"/>
  <c r="U1644" i="2"/>
  <c r="T1644" i="2"/>
  <c r="Z1643" i="2"/>
  <c r="Z1642" i="2"/>
  <c r="U1642" i="2"/>
  <c r="T1642" i="2"/>
  <c r="Z1641" i="2"/>
  <c r="Z1640" i="2"/>
  <c r="Z1639" i="2"/>
  <c r="Z1638" i="2"/>
  <c r="Z1637" i="2"/>
  <c r="Z1636" i="2"/>
  <c r="Z1635" i="2"/>
  <c r="Z1634" i="2"/>
  <c r="Z1633" i="2"/>
  <c r="Z1632" i="2"/>
  <c r="Z1631" i="2"/>
  <c r="Z1630" i="2"/>
  <c r="U1630" i="2"/>
  <c r="T1630" i="2"/>
  <c r="Z1629" i="2"/>
  <c r="U1629" i="2"/>
  <c r="T1629" i="2" s="1"/>
  <c r="Z1628" i="2"/>
  <c r="Z1627" i="2"/>
  <c r="Z1626" i="2"/>
  <c r="U1626" i="2"/>
  <c r="T1626" i="2" s="1"/>
  <c r="Z1625" i="2"/>
  <c r="Z1624" i="2"/>
  <c r="Z1623" i="2"/>
  <c r="Z1622" i="2"/>
  <c r="Z1621" i="2"/>
  <c r="Z1620" i="2"/>
  <c r="Z1619" i="2"/>
  <c r="Z1618" i="2"/>
  <c r="U1618" i="2"/>
  <c r="T1618" i="2"/>
  <c r="Z1617" i="2"/>
  <c r="U1617" i="2"/>
  <c r="T1617" i="2"/>
  <c r="Z1616" i="2"/>
  <c r="U1616" i="2"/>
  <c r="T1616" i="2"/>
  <c r="Z1615" i="2"/>
  <c r="Z1614" i="2"/>
  <c r="U1614" i="2"/>
  <c r="T1614" i="2"/>
  <c r="Z1613" i="2"/>
  <c r="U1613" i="2"/>
  <c r="T1613" i="2"/>
  <c r="Z1612" i="2"/>
  <c r="U1612" i="2"/>
  <c r="T1612" i="2"/>
  <c r="Z1611" i="2"/>
  <c r="U1611" i="2"/>
  <c r="T1611" i="2"/>
  <c r="Z1610" i="2"/>
  <c r="Z1609" i="2"/>
  <c r="Z1608" i="2"/>
  <c r="Z1607" i="2"/>
  <c r="U1607" i="2"/>
  <c r="T1607" i="2"/>
  <c r="Z1606" i="2"/>
  <c r="U1606" i="2"/>
  <c r="T1606" i="2"/>
  <c r="Z1605" i="2"/>
  <c r="U1605" i="2"/>
  <c r="T1605" i="2"/>
  <c r="Z1604" i="2"/>
  <c r="Z1603" i="2"/>
  <c r="Z1602" i="2"/>
  <c r="Z1601" i="2"/>
  <c r="Z1600" i="2"/>
  <c r="Z1599" i="2"/>
  <c r="U1599" i="2"/>
  <c r="T1599" i="2"/>
  <c r="Z1598" i="2"/>
  <c r="Z1597" i="2"/>
  <c r="U1597" i="2"/>
  <c r="T1597" i="2"/>
  <c r="Z1596" i="2"/>
  <c r="Z1595" i="2"/>
  <c r="U1595" i="2"/>
  <c r="T1595" i="2"/>
  <c r="Z1594" i="2"/>
  <c r="Z1593" i="2"/>
  <c r="U1593" i="2"/>
  <c r="T1593" i="2"/>
  <c r="Z1592" i="2"/>
  <c r="Z1591" i="2"/>
  <c r="U1591" i="2"/>
  <c r="T1591" i="2"/>
  <c r="Z1590" i="2"/>
  <c r="Z1589" i="2"/>
  <c r="Z1588" i="2"/>
  <c r="Z1587" i="2"/>
  <c r="Z1586" i="2"/>
  <c r="Z1585" i="2"/>
  <c r="U1585" i="2"/>
  <c r="T1585" i="2" s="1"/>
  <c r="Z1584" i="2"/>
  <c r="Z1583" i="2"/>
  <c r="Z1582" i="2"/>
  <c r="U1582" i="2"/>
  <c r="T1582" i="2"/>
  <c r="Z1581" i="2"/>
  <c r="Z1580" i="2"/>
  <c r="Z1579" i="2"/>
  <c r="Z1578" i="2"/>
  <c r="Z1577" i="2"/>
  <c r="Z1576" i="2"/>
  <c r="U1576" i="2"/>
  <c r="T1576" i="2"/>
  <c r="Z1575" i="2"/>
  <c r="Z1574" i="2"/>
  <c r="U1574" i="2"/>
  <c r="T1574" i="2"/>
  <c r="Z1573" i="2"/>
  <c r="Z1572" i="2"/>
  <c r="Z1571" i="2"/>
  <c r="Z1570" i="2"/>
  <c r="U1570" i="2"/>
  <c r="T1570" i="2"/>
  <c r="Z1569" i="2"/>
  <c r="Z1568" i="2"/>
  <c r="Z1567" i="2"/>
  <c r="Z1566" i="2"/>
  <c r="Z1565" i="2"/>
  <c r="U1565" i="2"/>
  <c r="T1565" i="2"/>
  <c r="Z1564" i="2"/>
  <c r="Z1563" i="2"/>
  <c r="Z1562" i="2"/>
  <c r="U1562" i="2"/>
  <c r="T1562" i="2"/>
  <c r="Z1561" i="2"/>
  <c r="Z1560" i="2"/>
  <c r="U1560" i="2"/>
  <c r="T1560" i="2"/>
  <c r="Z1559" i="2"/>
  <c r="Z1558" i="2"/>
  <c r="Z1557" i="2"/>
  <c r="U1557" i="2"/>
  <c r="T1557" i="2"/>
  <c r="Z1556" i="2"/>
  <c r="Z1555" i="2"/>
  <c r="Z1554" i="2"/>
  <c r="U1554" i="2"/>
  <c r="T1554" i="2"/>
  <c r="Z1553" i="2"/>
  <c r="U1553" i="2"/>
  <c r="T1553" i="2"/>
  <c r="Z1552" i="2"/>
  <c r="Z1551" i="2"/>
  <c r="Z1550" i="2"/>
  <c r="Z1549" i="2"/>
  <c r="U1549" i="2"/>
  <c r="T1549" i="2"/>
  <c r="Z1548" i="2"/>
  <c r="Z1547" i="2"/>
  <c r="Z1546" i="2"/>
  <c r="Z1545" i="2"/>
  <c r="Z1544" i="2"/>
  <c r="Z1543" i="2"/>
  <c r="Z1542" i="2"/>
  <c r="Z1541" i="2"/>
  <c r="Z1540" i="2"/>
  <c r="Z1539" i="2"/>
  <c r="Z1538" i="2"/>
  <c r="U1538" i="2"/>
  <c r="T1538" i="2"/>
  <c r="Z1537" i="2"/>
  <c r="Z1536" i="2"/>
  <c r="Z1535" i="2"/>
  <c r="Z1534" i="2"/>
  <c r="Z1533" i="2"/>
  <c r="Z1532" i="2"/>
  <c r="U1532" i="2"/>
  <c r="T1532" i="2"/>
  <c r="Z1531" i="2"/>
  <c r="Z1530" i="2"/>
  <c r="Z1529" i="2"/>
  <c r="U1529" i="2"/>
  <c r="T1529" i="2"/>
  <c r="Z1528" i="2"/>
  <c r="Z1527" i="2"/>
  <c r="Z1526" i="2"/>
  <c r="U1526" i="2"/>
  <c r="T1526" i="2"/>
  <c r="Z1525" i="2"/>
  <c r="Z1524" i="2"/>
  <c r="Z1523" i="2"/>
  <c r="Z1522" i="2"/>
  <c r="Z1521" i="2"/>
  <c r="Z1520" i="2"/>
  <c r="Z1519" i="2"/>
  <c r="Z1518" i="2"/>
  <c r="Z1517" i="2"/>
  <c r="U1517" i="2"/>
  <c r="T1517" i="2"/>
  <c r="Z1516" i="2"/>
  <c r="Z1515" i="2"/>
  <c r="Z1514" i="2"/>
  <c r="Z1513" i="2"/>
  <c r="Z1512" i="2"/>
  <c r="Z1511" i="2"/>
  <c r="U1511" i="2"/>
  <c r="T1511" i="2"/>
  <c r="Z1510" i="2"/>
  <c r="U1510" i="2"/>
  <c r="T1510" i="2"/>
  <c r="Z1509" i="2"/>
  <c r="Z1508" i="2"/>
  <c r="Z1507" i="2"/>
  <c r="Z1506" i="2"/>
  <c r="Z1505" i="2"/>
  <c r="Z1504" i="2"/>
  <c r="U1504" i="2"/>
  <c r="T1504" i="2"/>
  <c r="Z1503" i="2"/>
  <c r="Z1502" i="2"/>
  <c r="Z1501" i="2"/>
  <c r="Z1500" i="2"/>
  <c r="Z1499" i="2"/>
  <c r="Z1498" i="2"/>
  <c r="U1498" i="2"/>
  <c r="T1498" i="2"/>
  <c r="Z1497" i="2"/>
  <c r="Z1496" i="2"/>
  <c r="Z1495" i="2"/>
  <c r="Z1494" i="2"/>
  <c r="Z1493" i="2"/>
  <c r="U1493" i="2"/>
  <c r="T1493" i="2"/>
  <c r="Z1492" i="2"/>
  <c r="Z1491" i="2"/>
  <c r="Z1490" i="2"/>
  <c r="Z1489" i="2"/>
  <c r="U1489" i="2"/>
  <c r="T1489" i="2"/>
  <c r="Z1488" i="2"/>
  <c r="Z1487" i="2"/>
  <c r="Z1486" i="2"/>
  <c r="Z1485" i="2"/>
  <c r="Z1484" i="2"/>
  <c r="U1484" i="2"/>
  <c r="T1484" i="2"/>
  <c r="Z1483" i="2"/>
  <c r="U1483" i="2"/>
  <c r="T1483" i="2"/>
  <c r="Z1482" i="2"/>
  <c r="Z1481" i="2"/>
  <c r="Z1480" i="2"/>
  <c r="U1480" i="2"/>
  <c r="T1480" i="2"/>
  <c r="Z1479" i="2"/>
  <c r="Z1478" i="2"/>
  <c r="U1478" i="2"/>
  <c r="T1478" i="2"/>
  <c r="Z1477" i="2"/>
  <c r="Z1476" i="2"/>
  <c r="Z1475" i="2"/>
  <c r="U1475" i="2"/>
  <c r="T1475" i="2"/>
  <c r="Z1474" i="2"/>
  <c r="Z1473" i="2"/>
  <c r="Z1472" i="2"/>
  <c r="U1472" i="2"/>
  <c r="T1472" i="2"/>
  <c r="Z1471" i="2"/>
  <c r="Z1470" i="2"/>
  <c r="U1470" i="2"/>
  <c r="T1470" i="2"/>
  <c r="Z1469" i="2"/>
  <c r="Z1468" i="2"/>
  <c r="U1468" i="2"/>
  <c r="T1468" i="2"/>
  <c r="Z1467" i="2"/>
  <c r="Z1466" i="2"/>
  <c r="U1466" i="2"/>
  <c r="T1466" i="2"/>
  <c r="Z1465" i="2"/>
  <c r="Z1464" i="2"/>
  <c r="Z1463" i="2"/>
  <c r="Z1462" i="2"/>
  <c r="Z1461" i="2"/>
  <c r="Z1460" i="2"/>
  <c r="Z1459" i="2"/>
  <c r="Z1458" i="2"/>
  <c r="Z1457" i="2"/>
  <c r="Z1456" i="2"/>
  <c r="Z1455" i="2"/>
  <c r="Z1454" i="2"/>
  <c r="U1454" i="2"/>
  <c r="T1454" i="2"/>
  <c r="Z1453" i="2"/>
  <c r="Z1452" i="2"/>
  <c r="U1452" i="2"/>
  <c r="T1452" i="2"/>
  <c r="Z1451" i="2"/>
  <c r="Z1450" i="2"/>
  <c r="Z1449" i="2"/>
  <c r="U1449" i="2"/>
  <c r="T1449" i="2"/>
  <c r="Z1448" i="2"/>
  <c r="Z1447" i="2"/>
  <c r="Z1446" i="2"/>
  <c r="U1446" i="2"/>
  <c r="T1446" i="2"/>
  <c r="Z1445" i="2"/>
  <c r="Z1444" i="2"/>
  <c r="Z1443" i="2"/>
  <c r="U1443" i="2"/>
  <c r="T1443" i="2"/>
  <c r="Z1442" i="2"/>
  <c r="Z1441" i="2"/>
  <c r="Z1440" i="2"/>
  <c r="Z1439" i="2"/>
  <c r="U1439" i="2"/>
  <c r="T1439" i="2"/>
  <c r="Z1438" i="2"/>
  <c r="Z1437" i="2"/>
  <c r="Z1436" i="2"/>
  <c r="U1436" i="2"/>
  <c r="T1436" i="2"/>
  <c r="Z1435" i="2"/>
  <c r="Z1434" i="2"/>
  <c r="Z1433" i="2"/>
  <c r="Z1432" i="2"/>
  <c r="Z1431" i="2"/>
  <c r="U1431" i="2"/>
  <c r="T1431" i="2"/>
  <c r="Z1430" i="2"/>
  <c r="Z1429" i="2"/>
  <c r="U1429" i="2"/>
  <c r="T1429" i="2"/>
  <c r="Z1428" i="2"/>
  <c r="Z1427" i="2"/>
  <c r="U1427" i="2"/>
  <c r="T1427" i="2"/>
  <c r="Z1426" i="2"/>
  <c r="U1426" i="2"/>
  <c r="T1426" i="2"/>
  <c r="Z1425" i="2"/>
  <c r="Z1424" i="2"/>
  <c r="Z1423" i="2"/>
  <c r="U1423" i="2"/>
  <c r="T1423" i="2"/>
  <c r="Z1422" i="2"/>
  <c r="Z1421" i="2"/>
  <c r="U1421" i="2"/>
  <c r="T1421" i="2"/>
  <c r="Z1420" i="2"/>
  <c r="U1420" i="2"/>
  <c r="T1420" i="2"/>
  <c r="Z1419" i="2"/>
  <c r="Z1418" i="2"/>
  <c r="Z1417" i="2"/>
  <c r="Z1416" i="2"/>
  <c r="Z1415" i="2"/>
  <c r="Z1414" i="2"/>
  <c r="Z1413" i="2"/>
  <c r="Z1412" i="2"/>
  <c r="U1412" i="2"/>
  <c r="T1412" i="2"/>
  <c r="Z1411" i="2"/>
  <c r="Z1410" i="2"/>
  <c r="Z1409" i="2"/>
  <c r="Z1408" i="2"/>
  <c r="Z1407" i="2"/>
  <c r="Z1406" i="2"/>
  <c r="Z1405" i="2"/>
  <c r="Z1404" i="2"/>
  <c r="Z1403" i="2"/>
  <c r="Z1402" i="2"/>
  <c r="Z1401" i="2"/>
  <c r="Z1400" i="2"/>
  <c r="U1400" i="2"/>
  <c r="T1400" i="2"/>
  <c r="Z1399" i="2"/>
  <c r="Z1398" i="2"/>
  <c r="Z1397" i="2"/>
  <c r="Z1396" i="2"/>
  <c r="U1396" i="2"/>
  <c r="T1396" i="2"/>
  <c r="Z1395" i="2"/>
  <c r="U1395" i="2"/>
  <c r="T1395" i="2"/>
  <c r="Z1394" i="2"/>
  <c r="Z1393" i="2"/>
  <c r="Z1392" i="2"/>
  <c r="Z1391" i="2"/>
  <c r="Z1390" i="2"/>
  <c r="Z1389" i="2"/>
  <c r="U1389" i="2"/>
  <c r="T1389" i="2"/>
  <c r="Z1388" i="2"/>
  <c r="Z1387" i="2"/>
  <c r="Z1386" i="2"/>
  <c r="Z1385" i="2"/>
  <c r="Z1384" i="2"/>
  <c r="Z1383" i="2"/>
  <c r="Z1382" i="2"/>
  <c r="Z1381" i="2"/>
  <c r="Z1380" i="2"/>
  <c r="U1380" i="2"/>
  <c r="T1380" i="2"/>
  <c r="Z1379" i="2"/>
  <c r="Z1378" i="2"/>
  <c r="Z1377" i="2"/>
  <c r="Z1376" i="2"/>
  <c r="Z1375" i="2"/>
  <c r="Z1374" i="2"/>
  <c r="U1374" i="2"/>
  <c r="T1374" i="2"/>
  <c r="Z1373" i="2"/>
  <c r="Z1372" i="2"/>
  <c r="Z1371" i="2"/>
  <c r="Z1370" i="2"/>
  <c r="U1370" i="2"/>
  <c r="T1370" i="2"/>
  <c r="Z1369" i="2"/>
  <c r="Z1368" i="2"/>
  <c r="Z1367" i="2"/>
  <c r="Z1366" i="2"/>
  <c r="Z1365" i="2"/>
  <c r="Z1364" i="2"/>
  <c r="Z1363" i="2"/>
  <c r="Z1362" i="2"/>
  <c r="Z1361" i="2"/>
  <c r="Z1360" i="2"/>
  <c r="U1360" i="2"/>
  <c r="T1360" i="2"/>
  <c r="Z1359" i="2"/>
  <c r="Z1358" i="2"/>
  <c r="U1358" i="2"/>
  <c r="T1358" i="2"/>
  <c r="Z1357" i="2"/>
  <c r="Z1356" i="2"/>
  <c r="Z1328" i="2"/>
  <c r="Z1327" i="2"/>
  <c r="Z1326" i="2"/>
  <c r="Z1325" i="2"/>
  <c r="Z1324" i="2"/>
  <c r="Z1323" i="2"/>
  <c r="Z1322" i="2"/>
  <c r="Z1321" i="2"/>
  <c r="Z1320" i="2"/>
  <c r="Z1319" i="2"/>
  <c r="Z1318" i="2"/>
  <c r="Z1317" i="2"/>
  <c r="Z1316" i="2"/>
  <c r="Z1315" i="2"/>
  <c r="Z1314" i="2"/>
  <c r="Z1313" i="2"/>
  <c r="Z1312" i="2"/>
  <c r="Z1311" i="2"/>
  <c r="Z1310" i="2"/>
  <c r="Z1309" i="2"/>
  <c r="Z1308" i="2"/>
  <c r="Z1307" i="2"/>
  <c r="Z1306" i="2"/>
  <c r="U1306" i="2"/>
  <c r="T1306" i="2"/>
  <c r="Z1305" i="2"/>
  <c r="U1305" i="2"/>
  <c r="T1305" i="2"/>
  <c r="Z1304" i="2"/>
  <c r="Z1303" i="2"/>
  <c r="Z1302" i="2"/>
  <c r="Z1301" i="2"/>
  <c r="Z1300" i="2"/>
  <c r="Z1299" i="2"/>
  <c r="Z1298" i="2"/>
  <c r="Z1297" i="2"/>
  <c r="Z1296" i="2"/>
  <c r="Z1295" i="2"/>
  <c r="Z1294" i="2"/>
  <c r="Z1293" i="2"/>
  <c r="Z1292" i="2"/>
  <c r="Z1291" i="2"/>
  <c r="Z1290" i="2"/>
  <c r="Z1289" i="2"/>
  <c r="Z1288" i="2"/>
  <c r="Z1287" i="2"/>
  <c r="Z1286" i="2"/>
  <c r="Z1285" i="2"/>
  <c r="Z1284" i="2"/>
  <c r="Z1283" i="2"/>
  <c r="Z1282" i="2"/>
  <c r="Z1281" i="2"/>
  <c r="U1281" i="2"/>
  <c r="T1281" i="2"/>
  <c r="Z1280" i="2"/>
  <c r="Z1279" i="2"/>
  <c r="Z1278" i="2"/>
  <c r="U1278" i="2"/>
  <c r="T1278" i="2"/>
  <c r="Z1277" i="2"/>
  <c r="Z1276" i="2"/>
  <c r="Z1275" i="2"/>
  <c r="Z1274" i="2"/>
  <c r="Z1273" i="2"/>
  <c r="Z1272" i="2"/>
  <c r="Z1271" i="2"/>
  <c r="Z1270" i="2"/>
  <c r="Z1269" i="2"/>
  <c r="Z1268" i="2"/>
  <c r="Z1267" i="2"/>
  <c r="Z1266" i="2"/>
  <c r="Z1265" i="2"/>
  <c r="Z1264" i="2"/>
  <c r="Z1263" i="2"/>
  <c r="Z1262" i="2"/>
  <c r="Z1261" i="2"/>
  <c r="Z1260" i="2"/>
  <c r="Z1259" i="2"/>
  <c r="Z1258" i="2"/>
  <c r="Z1257" i="2"/>
  <c r="Z1256" i="2"/>
  <c r="Z1255" i="2"/>
  <c r="Z1254" i="2"/>
  <c r="Z1253" i="2"/>
  <c r="Z1252" i="2"/>
  <c r="Z1251" i="2"/>
  <c r="Z1250" i="2"/>
  <c r="Z1249" i="2"/>
  <c r="Z1248" i="2"/>
  <c r="Z1247" i="2"/>
  <c r="Z1246" i="2"/>
  <c r="Z1245" i="2"/>
  <c r="Z1244" i="2"/>
  <c r="Z1243" i="2"/>
  <c r="Z1242" i="2"/>
  <c r="Z1241" i="2"/>
  <c r="Z1240" i="2"/>
  <c r="Z1239" i="2"/>
  <c r="U1239" i="2"/>
  <c r="T1239" i="2"/>
  <c r="Z1238" i="2"/>
  <c r="Z1237" i="2"/>
  <c r="U1237" i="2"/>
  <c r="T1237" i="2"/>
  <c r="Z1236" i="2"/>
  <c r="Z1235" i="2"/>
  <c r="Z1234" i="2"/>
  <c r="Z1233" i="2"/>
  <c r="Z1232" i="2"/>
  <c r="Z1231" i="2"/>
  <c r="Z1230" i="2"/>
  <c r="Z1229" i="2"/>
  <c r="Z1228" i="2"/>
  <c r="Z1227" i="2"/>
  <c r="Z1226" i="2"/>
  <c r="Z1225" i="2"/>
  <c r="Z1224" i="2"/>
  <c r="U1224" i="2"/>
  <c r="T1224" i="2"/>
  <c r="Z1223" i="2"/>
  <c r="U1223" i="2"/>
  <c r="T1223" i="2"/>
  <c r="Z1222" i="2"/>
  <c r="Z1221" i="2"/>
  <c r="U1221" i="2"/>
  <c r="T1221" i="2"/>
  <c r="Z1220" i="2"/>
  <c r="Z1219" i="2"/>
  <c r="Z1218" i="2"/>
  <c r="Z1217" i="2"/>
  <c r="Z1216" i="2"/>
  <c r="U1216" i="2"/>
  <c r="T1216" i="2"/>
  <c r="Z1215" i="2"/>
  <c r="Z1214" i="2"/>
  <c r="U1214" i="2"/>
  <c r="T1214" i="2"/>
  <c r="Z1213" i="2"/>
  <c r="Z1212" i="2"/>
  <c r="U1212" i="2"/>
  <c r="T1212" i="2"/>
  <c r="Z1211" i="2"/>
  <c r="Z1210" i="2"/>
  <c r="Z1209" i="2"/>
  <c r="Z1208" i="2"/>
  <c r="Z1207" i="2"/>
  <c r="Z1206" i="2"/>
  <c r="Z1205" i="2"/>
  <c r="Z1204" i="2"/>
  <c r="U1204" i="2"/>
  <c r="T1204" i="2"/>
  <c r="Z1203" i="2"/>
  <c r="U1203" i="2"/>
  <c r="T1203" i="2"/>
  <c r="Z1202" i="2"/>
  <c r="U1202" i="2"/>
  <c r="T1202" i="2"/>
  <c r="Z1201" i="2"/>
  <c r="U1201" i="2"/>
  <c r="T1201" i="2"/>
  <c r="Z1200" i="2"/>
  <c r="U1200" i="2"/>
  <c r="T1200" i="2"/>
  <c r="Z1199" i="2"/>
  <c r="Z1198" i="2"/>
  <c r="Z1197" i="2"/>
  <c r="Z1196" i="2"/>
  <c r="Z1195" i="2"/>
  <c r="Z1194" i="2"/>
  <c r="Z1193" i="2"/>
  <c r="Z1192" i="2"/>
  <c r="U1192" i="2"/>
  <c r="T1192" i="2"/>
  <c r="Z1191" i="2"/>
  <c r="U1191" i="2"/>
  <c r="T1191" i="2"/>
  <c r="Z1190" i="2"/>
  <c r="Z1189" i="2"/>
  <c r="Z1188" i="2"/>
  <c r="Z1187" i="2"/>
  <c r="Z1186" i="2"/>
  <c r="Z1185" i="2"/>
  <c r="U1185" i="2"/>
  <c r="T1185" i="2"/>
  <c r="Z1184" i="2"/>
  <c r="U1184" i="2"/>
  <c r="T1184" i="2"/>
  <c r="Z1183" i="2"/>
  <c r="Z1182" i="2"/>
  <c r="Z1181" i="2"/>
  <c r="Z1180" i="2"/>
  <c r="Z1179" i="2"/>
  <c r="Z1178" i="2"/>
  <c r="Z1177" i="2"/>
  <c r="Z1176" i="2"/>
  <c r="Z1175" i="2"/>
  <c r="Z1174" i="2"/>
  <c r="U1174" i="2"/>
  <c r="T1174" i="2"/>
  <c r="Z1173" i="2"/>
  <c r="Z1172" i="2"/>
  <c r="Z1171" i="2"/>
  <c r="Z1170" i="2"/>
  <c r="Z1169" i="2"/>
  <c r="Z1168" i="2"/>
  <c r="Z1167" i="2"/>
  <c r="U1167" i="2"/>
  <c r="T1167" i="2"/>
  <c r="Z1166" i="2"/>
  <c r="Z1165" i="2"/>
  <c r="U1165" i="2"/>
  <c r="T1165" i="2"/>
  <c r="Z1164" i="2"/>
  <c r="U1164" i="2"/>
  <c r="T1164" i="2"/>
  <c r="Z1163" i="2"/>
  <c r="Z1162" i="2"/>
  <c r="Z1161" i="2"/>
  <c r="Z1160" i="2"/>
  <c r="Z1159" i="2"/>
  <c r="Z1158" i="2"/>
  <c r="Z1157" i="2"/>
  <c r="U1157" i="2"/>
  <c r="T1157" i="2"/>
  <c r="Z1156" i="2"/>
  <c r="Z1155" i="2"/>
  <c r="Z1154" i="2"/>
  <c r="Z1153" i="2"/>
  <c r="Z1152" i="2"/>
  <c r="Z1151" i="2"/>
  <c r="Z1150" i="2"/>
  <c r="Z1149" i="2"/>
  <c r="U1149" i="2"/>
  <c r="T1149" i="2"/>
  <c r="Z1148" i="2"/>
  <c r="Z1147" i="2"/>
  <c r="Z1146" i="2"/>
  <c r="Z1145" i="2"/>
  <c r="Z1144" i="2"/>
  <c r="Z1143" i="2"/>
  <c r="Z1142" i="2"/>
  <c r="Z1141" i="2"/>
  <c r="U1141" i="2"/>
  <c r="T1141" i="2"/>
  <c r="Z1140" i="2"/>
  <c r="Z1139" i="2"/>
  <c r="Z1138" i="2"/>
  <c r="Z1137" i="2"/>
  <c r="Z1136" i="2"/>
  <c r="Z1135" i="2"/>
  <c r="U1135" i="2"/>
  <c r="T1135" i="2"/>
  <c r="Z1134" i="2"/>
  <c r="Z1133" i="2"/>
  <c r="Z1132" i="2"/>
  <c r="Z1131" i="2"/>
  <c r="Z1130" i="2"/>
  <c r="U1130" i="2"/>
  <c r="T1130" i="2"/>
  <c r="Z1129" i="2"/>
  <c r="U1129" i="2"/>
  <c r="T1129" i="2"/>
  <c r="Z1128" i="2"/>
  <c r="Z1127" i="2"/>
  <c r="Z1126" i="2"/>
  <c r="Z1125" i="2"/>
  <c r="U1125" i="2"/>
  <c r="T1125" i="2"/>
  <c r="Z1124" i="2"/>
  <c r="U1124" i="2"/>
  <c r="T1124" i="2"/>
  <c r="Z1123" i="2"/>
  <c r="Z1122" i="2"/>
  <c r="Z1121" i="2"/>
  <c r="Z1120" i="2"/>
  <c r="Z1119" i="2"/>
  <c r="U1119" i="2"/>
  <c r="T1119" i="2"/>
  <c r="Z1118" i="2"/>
  <c r="Z1117" i="2"/>
  <c r="Z1116" i="2"/>
  <c r="Z1115" i="2"/>
  <c r="U1115" i="2"/>
  <c r="T1115" i="2"/>
  <c r="Z1114" i="2"/>
  <c r="U1114" i="2"/>
  <c r="T1114" i="2"/>
  <c r="Z1113" i="2"/>
  <c r="U1113" i="2"/>
  <c r="T1113" i="2"/>
  <c r="Z1112" i="2"/>
  <c r="Z1111" i="2"/>
  <c r="Z1110" i="2"/>
  <c r="Z1109" i="2"/>
  <c r="Z1108" i="2"/>
  <c r="Z1107" i="2"/>
  <c r="Z1106" i="2"/>
  <c r="Z1105" i="2"/>
  <c r="U1105" i="2"/>
  <c r="T1105" i="2"/>
  <c r="Z1104" i="2"/>
  <c r="Z1103" i="2"/>
  <c r="Z1102" i="2"/>
  <c r="Z1101" i="2"/>
  <c r="Z1100" i="2"/>
  <c r="Z1099" i="2"/>
  <c r="Z1098" i="2"/>
  <c r="U1098" i="2"/>
  <c r="T1098" i="2"/>
  <c r="Z1097" i="2"/>
  <c r="Z1096" i="2"/>
  <c r="Z1095" i="2"/>
  <c r="U1095" i="2"/>
  <c r="T1095" i="2"/>
  <c r="Z1094" i="2"/>
  <c r="U1094" i="2"/>
  <c r="T1094" i="2"/>
  <c r="Z1093" i="2"/>
  <c r="Z1092" i="2"/>
  <c r="Z1091" i="2"/>
  <c r="Z1090" i="2"/>
  <c r="U1090" i="2"/>
  <c r="T1090" i="2"/>
  <c r="Z1089" i="2"/>
  <c r="Z1088" i="2"/>
  <c r="U1088" i="2"/>
  <c r="T1088" i="2"/>
  <c r="Z1087" i="2"/>
  <c r="Z1086" i="2"/>
  <c r="Z1085" i="2"/>
  <c r="U1085" i="2"/>
  <c r="T1085" i="2"/>
  <c r="Z1084" i="2"/>
  <c r="Z1083" i="2"/>
  <c r="U1083" i="2"/>
  <c r="T1083" i="2"/>
  <c r="Z1082" i="2"/>
  <c r="Z1081" i="2"/>
  <c r="Z1080" i="2"/>
  <c r="U1080" i="2"/>
  <c r="T1080" i="2"/>
  <c r="Z1079" i="2"/>
  <c r="Z1078" i="2"/>
  <c r="Z1077" i="2"/>
  <c r="Z1076" i="2"/>
  <c r="Z1075" i="2"/>
  <c r="Z1074" i="2"/>
  <c r="Z1073" i="2"/>
  <c r="U1073" i="2"/>
  <c r="T1073" i="2"/>
  <c r="Z1072" i="2"/>
  <c r="Z1071" i="2"/>
  <c r="Z1070" i="2"/>
  <c r="Z1069" i="2"/>
  <c r="Z1068" i="2"/>
  <c r="Z1067" i="2"/>
  <c r="U1067" i="2"/>
  <c r="T1067" i="2"/>
  <c r="Z1066" i="2"/>
  <c r="Z1065" i="2"/>
  <c r="Z1064" i="2"/>
  <c r="Z1063" i="2"/>
  <c r="Z1062" i="2"/>
  <c r="Z1061" i="2"/>
  <c r="Z1060" i="2"/>
  <c r="U1060" i="2"/>
  <c r="T1060" i="2"/>
  <c r="Z1059" i="2"/>
  <c r="U1059" i="2"/>
  <c r="T1059" i="2"/>
  <c r="Z1058" i="2"/>
  <c r="Z1057" i="2"/>
  <c r="Z1056" i="2"/>
  <c r="U1056" i="2"/>
  <c r="T1056" i="2"/>
  <c r="Z1055" i="2"/>
  <c r="Z1054" i="2"/>
  <c r="Z1053" i="2"/>
  <c r="Z1052" i="2"/>
  <c r="Z1051" i="2"/>
  <c r="Z1050" i="2"/>
  <c r="U1050" i="2"/>
  <c r="T1050" i="2"/>
  <c r="Z1049" i="2"/>
  <c r="U1049" i="2"/>
  <c r="T1049" i="2"/>
  <c r="Z1048" i="2"/>
  <c r="Z1047" i="2"/>
  <c r="Z1046" i="2"/>
  <c r="Z1045" i="2"/>
  <c r="Z1044" i="2"/>
  <c r="Z1043" i="2"/>
  <c r="U1043" i="2"/>
  <c r="T1043" i="2"/>
  <c r="Z1042" i="2"/>
  <c r="U1042" i="2"/>
  <c r="T1042" i="2"/>
  <c r="Z1041" i="2"/>
  <c r="Z1040" i="2"/>
  <c r="Z1039" i="2"/>
  <c r="Z1038" i="2"/>
  <c r="Z1037" i="2"/>
  <c r="U1037" i="2"/>
  <c r="T1037" i="2"/>
  <c r="Z1036" i="2"/>
  <c r="Z1035" i="2"/>
  <c r="Z1034" i="2"/>
  <c r="Z1033" i="2"/>
  <c r="U1033" i="2"/>
  <c r="T1033" i="2"/>
  <c r="Z1032" i="2"/>
  <c r="U1032" i="2"/>
  <c r="T1032" i="2"/>
  <c r="Z1031" i="2"/>
  <c r="Z1030" i="2"/>
  <c r="U1030" i="2"/>
  <c r="T1030" i="2"/>
  <c r="Z1029" i="2"/>
  <c r="Z1028" i="2"/>
  <c r="Z1027" i="2"/>
  <c r="Z1026" i="2"/>
  <c r="Z1025" i="2"/>
  <c r="Z1024" i="2"/>
  <c r="Z1023" i="2"/>
  <c r="Z1022" i="2"/>
  <c r="Z1021" i="2"/>
  <c r="Z1020" i="2"/>
  <c r="Z1019" i="2"/>
  <c r="Z1018" i="2"/>
  <c r="U1018" i="2"/>
  <c r="T1018" i="2"/>
  <c r="Z1017" i="2"/>
  <c r="Z1016" i="2"/>
  <c r="Z1015" i="2"/>
  <c r="Z1014" i="2"/>
  <c r="Z1013" i="2"/>
  <c r="Z1012" i="2"/>
  <c r="Z1011" i="2"/>
  <c r="U1011" i="2"/>
  <c r="T1011" i="2"/>
  <c r="Z1010" i="2"/>
  <c r="U1010" i="2"/>
  <c r="T1010" i="2"/>
  <c r="Z1009" i="2"/>
  <c r="U1009" i="2"/>
  <c r="T1009" i="2"/>
  <c r="Z1008" i="2"/>
  <c r="Z1007" i="2"/>
  <c r="Z1006" i="2"/>
  <c r="Z1005" i="2"/>
  <c r="Z1004" i="2"/>
  <c r="Z1003" i="2"/>
  <c r="Z1002" i="2"/>
  <c r="Z1001" i="2"/>
  <c r="Z1000" i="2"/>
  <c r="Z999" i="2"/>
  <c r="Z998" i="2"/>
  <c r="Z997" i="2"/>
  <c r="Z996" i="2"/>
  <c r="Z995" i="2"/>
  <c r="U995" i="2"/>
  <c r="T995" i="2"/>
  <c r="Z994" i="2"/>
  <c r="Z993" i="2"/>
  <c r="Z992" i="2"/>
  <c r="Z991" i="2"/>
  <c r="Z990" i="2"/>
  <c r="Z989" i="2"/>
  <c r="Z988" i="2"/>
  <c r="Z987" i="2"/>
  <c r="U987" i="2"/>
  <c r="T987" i="2"/>
  <c r="Z986" i="2"/>
  <c r="U986" i="2"/>
  <c r="T986" i="2"/>
  <c r="Z985" i="2"/>
  <c r="U985" i="2"/>
  <c r="T985" i="2"/>
  <c r="Z984" i="2"/>
  <c r="Z983" i="2"/>
  <c r="U983" i="2"/>
  <c r="T983" i="2"/>
  <c r="Z982" i="2"/>
  <c r="Z981" i="2"/>
  <c r="Z980" i="2"/>
  <c r="Z979" i="2"/>
  <c r="Z978" i="2"/>
  <c r="Z977" i="2"/>
  <c r="Z976" i="2"/>
  <c r="Z975" i="2"/>
  <c r="Z974" i="2"/>
  <c r="Z973" i="2"/>
  <c r="Z972" i="2"/>
  <c r="Z971" i="2"/>
  <c r="U971" i="2"/>
  <c r="T971" i="2"/>
  <c r="Z970" i="2"/>
  <c r="Z969" i="2"/>
  <c r="Z968" i="2"/>
  <c r="Z967" i="2"/>
  <c r="Z966" i="2"/>
  <c r="Z965" i="2"/>
  <c r="U965" i="2"/>
  <c r="T965" i="2"/>
  <c r="Z964" i="2"/>
  <c r="U964" i="2"/>
  <c r="T964" i="2"/>
  <c r="Z963" i="2"/>
  <c r="Z962" i="2"/>
  <c r="U962" i="2"/>
  <c r="T962" i="2"/>
  <c r="Z961" i="2"/>
  <c r="Z960" i="2"/>
  <c r="Z959" i="2"/>
  <c r="U959" i="2"/>
  <c r="T959" i="2"/>
  <c r="Z958" i="2"/>
  <c r="Z957" i="2"/>
  <c r="U957" i="2"/>
  <c r="T957" i="2"/>
  <c r="Z956" i="2"/>
  <c r="U956" i="2"/>
  <c r="T956" i="2"/>
  <c r="Z955" i="2"/>
  <c r="U955" i="2"/>
  <c r="T955" i="2"/>
  <c r="Z954" i="2"/>
  <c r="Z953" i="2"/>
  <c r="Z952" i="2"/>
  <c r="U952" i="2"/>
  <c r="T952" i="2"/>
  <c r="Z951" i="2"/>
  <c r="Z950" i="2"/>
  <c r="Z949" i="2"/>
  <c r="Z948" i="2"/>
  <c r="U948" i="2"/>
  <c r="T948" i="2"/>
  <c r="Z947" i="2"/>
  <c r="U947" i="2"/>
  <c r="T947" i="2"/>
  <c r="Z946" i="2"/>
  <c r="Z945" i="2"/>
  <c r="U945" i="2"/>
  <c r="T945" i="2"/>
  <c r="Z944" i="2"/>
  <c r="U944" i="2"/>
  <c r="T944" i="2"/>
  <c r="Z943" i="2"/>
  <c r="Z942" i="2"/>
  <c r="U942" i="2"/>
  <c r="T942" i="2"/>
  <c r="Z941" i="2"/>
  <c r="U941" i="2"/>
  <c r="T941" i="2"/>
  <c r="Z940" i="2"/>
  <c r="Z939" i="2"/>
  <c r="Z938" i="2"/>
  <c r="Z937" i="2"/>
  <c r="Z936" i="2"/>
  <c r="Z935" i="2"/>
  <c r="Z934" i="2"/>
  <c r="Z933" i="2"/>
  <c r="U933" i="2"/>
  <c r="T933" i="2"/>
  <c r="Z932" i="2"/>
  <c r="Z931" i="2"/>
  <c r="Z930" i="2"/>
  <c r="Z929" i="2"/>
  <c r="Z928" i="2"/>
  <c r="Z927" i="2"/>
  <c r="Z926" i="2"/>
  <c r="Z925" i="2"/>
  <c r="Z924" i="2"/>
  <c r="Z923" i="2"/>
  <c r="Z922" i="2"/>
  <c r="Z921" i="2"/>
  <c r="Z920" i="2"/>
  <c r="Z919" i="2"/>
  <c r="Z918" i="2"/>
  <c r="Z917" i="2"/>
  <c r="Z916" i="2"/>
  <c r="Z915" i="2"/>
  <c r="Z914" i="2"/>
  <c r="Z913" i="2"/>
  <c r="Z912" i="2"/>
  <c r="Z911" i="2"/>
  <c r="Z883" i="2"/>
  <c r="Z882" i="2"/>
  <c r="U882" i="2"/>
  <c r="T882" i="2" s="1"/>
  <c r="Z881" i="2"/>
  <c r="Z880" i="2"/>
  <c r="Z879" i="2"/>
  <c r="U879" i="2"/>
  <c r="T879" i="2" s="1"/>
  <c r="Z878" i="2"/>
  <c r="Z877" i="2"/>
  <c r="U877" i="2"/>
  <c r="T877" i="2"/>
  <c r="Z876" i="2"/>
  <c r="Z875" i="2"/>
  <c r="Z874" i="2"/>
  <c r="Z873" i="2"/>
  <c r="Z872" i="2"/>
  <c r="Z871" i="2"/>
  <c r="Z870" i="2"/>
  <c r="U870" i="2"/>
  <c r="T870" i="2"/>
  <c r="Z869" i="2"/>
  <c r="Z868" i="2"/>
  <c r="Z867" i="2"/>
  <c r="U867" i="2"/>
  <c r="T867" i="2"/>
  <c r="Z866" i="2"/>
  <c r="Z865" i="2"/>
  <c r="Z864" i="2"/>
  <c r="Z863" i="2"/>
  <c r="U863" i="2"/>
  <c r="T863" i="2"/>
  <c r="Z862" i="2"/>
  <c r="Z861" i="2"/>
  <c r="U861" i="2"/>
  <c r="T861" i="2"/>
  <c r="Z860" i="2"/>
  <c r="Z859" i="2"/>
  <c r="Z858" i="2"/>
  <c r="Z857" i="2"/>
  <c r="Z856" i="2"/>
  <c r="Z855" i="2"/>
  <c r="Z854" i="2"/>
  <c r="Z853" i="2"/>
  <c r="Z852" i="2"/>
  <c r="Z851" i="2"/>
  <c r="Z850" i="2"/>
  <c r="Z849" i="2"/>
  <c r="Z848" i="2"/>
  <c r="U848" i="2"/>
  <c r="T848" i="2"/>
  <c r="Z847" i="2"/>
  <c r="U847" i="2"/>
  <c r="T847" i="2"/>
  <c r="Z846" i="2"/>
  <c r="Z845" i="2"/>
  <c r="Z844" i="2"/>
  <c r="Z843" i="2"/>
  <c r="U843" i="2"/>
  <c r="T843" i="2"/>
  <c r="Z842" i="2"/>
  <c r="Z841" i="2"/>
  <c r="Z840" i="2"/>
  <c r="U840" i="2"/>
  <c r="T840" i="2"/>
  <c r="Z839" i="2"/>
  <c r="Z838" i="2"/>
  <c r="Z837" i="2"/>
  <c r="Z836" i="2"/>
  <c r="U836" i="2"/>
  <c r="T836" i="2"/>
  <c r="Z835" i="2"/>
  <c r="Z834" i="2"/>
  <c r="Z833" i="2"/>
  <c r="Z832" i="2"/>
  <c r="Z831" i="2"/>
  <c r="Z830" i="2"/>
  <c r="Z829" i="2"/>
  <c r="U829" i="2"/>
  <c r="T829" i="2"/>
  <c r="Z828" i="2"/>
  <c r="Z827" i="2"/>
  <c r="Z826" i="2"/>
  <c r="Z825" i="2"/>
  <c r="Z824" i="2"/>
  <c r="Z823" i="2"/>
  <c r="U823" i="2"/>
  <c r="T823" i="2"/>
  <c r="Z822" i="2"/>
  <c r="Z821" i="2"/>
  <c r="Z820" i="2"/>
  <c r="U820" i="2"/>
  <c r="T820" i="2"/>
  <c r="Z819" i="2"/>
  <c r="Z818" i="2"/>
  <c r="Z817" i="2"/>
  <c r="Z816" i="2"/>
  <c r="U816" i="2"/>
  <c r="T816" i="2"/>
  <c r="Z815" i="2"/>
  <c r="U815" i="2"/>
  <c r="T815" i="2"/>
  <c r="Z814" i="2"/>
  <c r="Z813" i="2"/>
  <c r="U813" i="2"/>
  <c r="T813" i="2"/>
  <c r="Z812" i="2"/>
  <c r="Z811" i="2"/>
  <c r="Z810" i="2"/>
  <c r="Z809" i="2"/>
  <c r="Z808" i="2"/>
  <c r="U808" i="2"/>
  <c r="T808" i="2"/>
  <c r="Z807" i="2"/>
  <c r="Z806" i="2"/>
  <c r="U806" i="2"/>
  <c r="T806" i="2"/>
  <c r="Z805" i="2"/>
  <c r="U805" i="2"/>
  <c r="T805" i="2"/>
  <c r="Z804" i="2"/>
  <c r="Z803" i="2"/>
  <c r="Z802" i="2"/>
  <c r="U802" i="2"/>
  <c r="T802" i="2"/>
  <c r="Z801" i="2"/>
  <c r="U801" i="2"/>
  <c r="T801" i="2"/>
  <c r="Z800" i="2"/>
  <c r="Z799" i="2"/>
  <c r="Z798" i="2"/>
  <c r="Z797" i="2"/>
  <c r="U797" i="2"/>
  <c r="T797" i="2"/>
  <c r="Z796" i="2"/>
  <c r="Z795" i="2"/>
  <c r="Z794" i="2"/>
  <c r="Z793" i="2"/>
  <c r="U793" i="2"/>
  <c r="T793" i="2"/>
  <c r="Z792" i="2"/>
  <c r="U792" i="2"/>
  <c r="T792" i="2"/>
  <c r="Z791" i="2"/>
  <c r="U791" i="2"/>
  <c r="T791" i="2"/>
  <c r="Z790" i="2"/>
  <c r="U790" i="2"/>
  <c r="T790" i="2"/>
  <c r="Z789" i="2"/>
  <c r="U789" i="2"/>
  <c r="T789" i="2"/>
  <c r="Z788" i="2"/>
  <c r="Z787" i="2"/>
  <c r="Z786" i="2"/>
  <c r="Z785" i="2"/>
  <c r="Z784" i="2"/>
  <c r="Z783" i="2"/>
  <c r="Z782" i="2"/>
  <c r="Z781" i="2"/>
  <c r="Z780" i="2"/>
  <c r="U780" i="2"/>
  <c r="T780" i="2"/>
  <c r="Z779" i="2"/>
  <c r="Z778" i="2"/>
  <c r="Z777" i="2"/>
  <c r="U777" i="2"/>
  <c r="T777" i="2"/>
  <c r="Z776" i="2"/>
  <c r="Z775" i="2"/>
  <c r="Z774" i="2"/>
  <c r="Z773" i="2"/>
  <c r="Z772" i="2"/>
  <c r="Z771" i="2"/>
  <c r="Z770" i="2"/>
  <c r="Z769" i="2"/>
  <c r="Z768" i="2"/>
  <c r="Z767" i="2"/>
  <c r="Z766" i="2"/>
  <c r="Z765" i="2"/>
  <c r="Z764" i="2"/>
  <c r="Z763" i="2"/>
  <c r="Z762" i="2"/>
  <c r="Z761" i="2"/>
  <c r="Z760" i="2"/>
  <c r="Z759" i="2"/>
  <c r="Z758" i="2"/>
  <c r="Z757" i="2"/>
  <c r="Z756" i="2"/>
  <c r="Z755" i="2"/>
  <c r="Z754" i="2"/>
  <c r="Z753" i="2"/>
  <c r="Z752" i="2"/>
  <c r="Z751" i="2"/>
  <c r="Z750" i="2"/>
  <c r="Z749" i="2"/>
  <c r="Z748" i="2"/>
  <c r="U748" i="2"/>
  <c r="T748" i="2"/>
  <c r="Z747" i="2"/>
  <c r="Z746" i="2"/>
  <c r="Z745" i="2"/>
  <c r="Z744" i="2"/>
  <c r="Z743" i="2"/>
  <c r="U743" i="2"/>
  <c r="T743" i="2"/>
  <c r="Z742" i="2"/>
  <c r="U742" i="2"/>
  <c r="T742" i="2"/>
  <c r="Z741" i="2"/>
  <c r="Z740" i="2"/>
  <c r="U740" i="2"/>
  <c r="T740" i="2"/>
  <c r="Z739" i="2"/>
  <c r="Z738" i="2"/>
  <c r="Z737" i="2"/>
  <c r="Z736" i="2"/>
  <c r="Z735" i="2"/>
  <c r="Z734" i="2"/>
  <c r="Z733" i="2"/>
  <c r="Z732" i="2"/>
  <c r="Z731" i="2"/>
  <c r="Z730" i="2"/>
  <c r="Z729" i="2"/>
  <c r="Z728" i="2"/>
  <c r="Z727" i="2"/>
  <c r="Z726" i="2"/>
  <c r="U726" i="2"/>
  <c r="T726" i="2"/>
  <c r="Z725" i="2"/>
  <c r="Z724" i="2"/>
  <c r="U724" i="2"/>
  <c r="T724" i="2"/>
  <c r="Z723" i="2"/>
  <c r="U723" i="2"/>
  <c r="T723" i="2"/>
  <c r="Z722" i="2"/>
  <c r="Z721" i="2"/>
  <c r="Z720" i="2"/>
  <c r="Z719" i="2"/>
  <c r="Z718" i="2"/>
  <c r="Z717" i="2"/>
  <c r="U717" i="2"/>
  <c r="T717" i="2"/>
  <c r="Z716" i="2"/>
  <c r="Z715" i="2"/>
  <c r="Z714" i="2"/>
  <c r="Z713" i="2"/>
  <c r="Z712" i="2"/>
  <c r="Z711" i="2"/>
  <c r="Z710" i="2"/>
  <c r="U710" i="2"/>
  <c r="T710" i="2"/>
  <c r="Z709" i="2"/>
  <c r="U709" i="2"/>
  <c r="T709" i="2"/>
  <c r="Z708" i="2"/>
  <c r="Z707" i="2"/>
  <c r="U707" i="2"/>
  <c r="T707" i="2"/>
  <c r="Z706" i="2"/>
  <c r="Z705" i="2"/>
  <c r="Z704" i="2"/>
  <c r="U704" i="2"/>
  <c r="T704" i="2"/>
  <c r="Z703" i="2"/>
  <c r="Z702" i="2"/>
  <c r="Z701" i="2"/>
  <c r="Z700" i="2"/>
  <c r="U700" i="2"/>
  <c r="T700" i="2"/>
  <c r="Z699" i="2"/>
  <c r="Z698" i="2"/>
  <c r="Z697" i="2"/>
  <c r="Z696" i="2"/>
  <c r="Z695" i="2"/>
  <c r="U695" i="2"/>
  <c r="T695" i="2"/>
  <c r="Z694" i="2"/>
  <c r="Z693" i="2"/>
  <c r="Z692" i="2"/>
  <c r="U692" i="2"/>
  <c r="T692" i="2"/>
  <c r="Z691" i="2"/>
  <c r="Z690" i="2"/>
  <c r="Z689" i="2"/>
  <c r="Z688" i="2"/>
  <c r="Z687" i="2"/>
  <c r="U687" i="2"/>
  <c r="T687" i="2"/>
  <c r="Z686" i="2"/>
  <c r="U686" i="2"/>
  <c r="T686" i="2"/>
  <c r="Z685" i="2"/>
  <c r="Z684" i="2"/>
  <c r="Z683" i="2"/>
  <c r="Z682" i="2"/>
  <c r="Z681" i="2"/>
  <c r="Z680" i="2"/>
  <c r="Z679" i="2"/>
  <c r="U679" i="2"/>
  <c r="T679" i="2"/>
  <c r="Z678" i="2"/>
  <c r="Z677" i="2"/>
  <c r="Z676" i="2"/>
  <c r="Z675" i="2"/>
  <c r="Z674" i="2"/>
  <c r="Z673" i="2"/>
  <c r="Z672" i="2"/>
  <c r="Z671" i="2"/>
  <c r="Z670" i="2"/>
  <c r="Z669" i="2"/>
  <c r="U669" i="2"/>
  <c r="T669" i="2"/>
  <c r="Z668" i="2"/>
  <c r="Z667" i="2"/>
  <c r="Z666" i="2"/>
  <c r="Z665" i="2"/>
  <c r="U665" i="2"/>
  <c r="T665" i="2"/>
  <c r="Z664" i="2"/>
  <c r="Z663" i="2"/>
  <c r="Z662" i="2"/>
  <c r="Z661" i="2"/>
  <c r="U661" i="2"/>
  <c r="T661" i="2"/>
  <c r="Z660" i="2"/>
  <c r="Z659" i="2"/>
  <c r="Z658" i="2"/>
  <c r="U658" i="2"/>
  <c r="T658" i="2"/>
  <c r="Z657" i="2"/>
  <c r="Z656" i="2"/>
  <c r="Z655" i="2"/>
  <c r="U655" i="2"/>
  <c r="T655" i="2"/>
  <c r="Z654" i="2"/>
  <c r="U654" i="2"/>
  <c r="T654" i="2"/>
  <c r="Z653" i="2"/>
  <c r="Z652" i="2"/>
  <c r="Z651" i="2"/>
  <c r="Z650" i="2"/>
  <c r="Z649" i="2"/>
  <c r="Z648" i="2"/>
  <c r="Z647" i="2"/>
  <c r="Z646" i="2"/>
  <c r="Z645" i="2"/>
  <c r="U645" i="2"/>
  <c r="T645" i="2"/>
  <c r="Z644" i="2"/>
  <c r="Z643" i="2"/>
  <c r="Z642" i="2"/>
  <c r="Z641" i="2"/>
  <c r="U641" i="2"/>
  <c r="T641" i="2"/>
  <c r="Z640" i="2"/>
  <c r="Z639" i="2"/>
  <c r="Z638" i="2"/>
  <c r="Z637" i="2"/>
  <c r="Z636" i="2"/>
  <c r="Z635" i="2"/>
  <c r="U635" i="2"/>
  <c r="T635" i="2"/>
  <c r="Z634" i="2"/>
  <c r="Z633" i="2"/>
  <c r="Z632" i="2"/>
  <c r="Z631" i="2"/>
  <c r="Z630" i="2"/>
  <c r="U630" i="2"/>
  <c r="T630" i="2"/>
  <c r="Z629" i="2"/>
  <c r="U629" i="2"/>
  <c r="T629" i="2"/>
  <c r="Z628" i="2"/>
  <c r="Z627" i="2"/>
  <c r="Z626" i="2"/>
  <c r="Z625" i="2"/>
  <c r="Z624" i="2"/>
  <c r="Z623" i="2"/>
  <c r="Z622" i="2"/>
  <c r="Z621" i="2"/>
  <c r="U621" i="2"/>
  <c r="T621" i="2"/>
  <c r="Z620" i="2"/>
  <c r="Z619" i="2"/>
  <c r="Z618" i="2"/>
  <c r="Z617" i="2"/>
  <c r="Z616" i="2"/>
  <c r="Z615" i="2"/>
  <c r="Z614" i="2"/>
  <c r="Z613" i="2"/>
  <c r="U613" i="2"/>
  <c r="T613" i="2"/>
  <c r="Z612" i="2"/>
  <c r="Z611" i="2"/>
  <c r="Z610" i="2"/>
  <c r="Z609" i="2"/>
  <c r="Z608" i="2"/>
  <c r="Z607" i="2"/>
  <c r="U607" i="2"/>
  <c r="T607" i="2"/>
  <c r="Z606" i="2"/>
  <c r="Z605" i="2"/>
  <c r="Z604" i="2"/>
  <c r="Z603" i="2"/>
  <c r="Z602" i="2"/>
  <c r="Z601" i="2"/>
  <c r="Z600" i="2"/>
  <c r="Z599" i="2"/>
  <c r="U599" i="2"/>
  <c r="T599" i="2"/>
  <c r="Z598" i="2"/>
  <c r="Z597" i="2"/>
  <c r="Z596" i="2"/>
  <c r="Z595" i="2"/>
  <c r="U595" i="2"/>
  <c r="T595" i="2"/>
  <c r="Z594" i="2"/>
  <c r="Z593" i="2"/>
  <c r="Z592" i="2"/>
  <c r="Z591" i="2"/>
  <c r="U591" i="2"/>
  <c r="T591" i="2"/>
  <c r="Z590" i="2"/>
  <c r="Z589" i="2"/>
  <c r="Z588" i="2"/>
  <c r="Z587" i="2"/>
  <c r="Z586" i="2"/>
  <c r="U586" i="2"/>
  <c r="T586" i="2"/>
  <c r="Z585" i="2"/>
  <c r="U585" i="2"/>
  <c r="T585" i="2"/>
  <c r="Z584" i="2"/>
  <c r="Z583" i="2"/>
  <c r="Z582" i="2"/>
  <c r="Z581" i="2"/>
  <c r="Z580" i="2"/>
  <c r="U580" i="2"/>
  <c r="T580" i="2"/>
  <c r="Z579" i="2"/>
  <c r="Z578" i="2"/>
  <c r="Z577" i="2"/>
  <c r="U577" i="2"/>
  <c r="T577" i="2"/>
  <c r="Z576" i="2"/>
  <c r="U576" i="2"/>
  <c r="T576" i="2"/>
  <c r="Z575" i="2"/>
  <c r="Z574" i="2"/>
  <c r="Z573" i="2"/>
  <c r="Z572" i="2"/>
  <c r="Z571" i="2"/>
  <c r="Z570" i="2"/>
  <c r="U570" i="2"/>
  <c r="T570" i="2"/>
  <c r="Z569" i="2"/>
  <c r="Z568" i="2"/>
  <c r="Z567" i="2"/>
  <c r="Z566" i="2"/>
  <c r="U566" i="2"/>
  <c r="T566" i="2"/>
  <c r="Z565" i="2"/>
  <c r="Z564" i="2"/>
  <c r="Z563" i="2"/>
  <c r="Z562" i="2"/>
  <c r="U562" i="2"/>
  <c r="T562" i="2"/>
  <c r="Z561" i="2"/>
  <c r="Z560" i="2"/>
  <c r="Z559" i="2"/>
  <c r="Z558" i="2"/>
  <c r="Z557" i="2"/>
  <c r="Z556" i="2"/>
  <c r="Z555" i="2"/>
  <c r="U555" i="2"/>
  <c r="T555" i="2"/>
  <c r="Z554" i="2"/>
  <c r="Z553" i="2"/>
  <c r="Z552" i="2"/>
  <c r="Z551" i="2"/>
  <c r="Z550" i="2"/>
  <c r="U550" i="2"/>
  <c r="T550" i="2"/>
  <c r="Z549" i="2"/>
  <c r="Z548" i="2"/>
  <c r="Z547" i="2"/>
  <c r="Z546" i="2"/>
  <c r="Z545" i="2"/>
  <c r="Z544" i="2"/>
  <c r="Z543" i="2"/>
  <c r="U543" i="2"/>
  <c r="T543" i="2"/>
  <c r="Z542" i="2"/>
  <c r="Z541" i="2"/>
  <c r="U541" i="2"/>
  <c r="T541" i="2"/>
  <c r="Z540" i="2"/>
  <c r="Z539" i="2"/>
  <c r="Z538" i="2"/>
  <c r="U538" i="2"/>
  <c r="T538" i="2"/>
  <c r="Z537" i="2"/>
  <c r="Z536" i="2"/>
  <c r="Z535" i="2"/>
  <c r="Z534" i="2"/>
  <c r="Z533" i="2"/>
  <c r="Z532" i="2"/>
  <c r="Z531" i="2"/>
  <c r="U531" i="2"/>
  <c r="T531" i="2"/>
  <c r="Z530" i="2"/>
  <c r="U530" i="2"/>
  <c r="T530" i="2"/>
  <c r="Z529" i="2"/>
  <c r="Z528" i="2"/>
  <c r="Z527" i="2"/>
  <c r="Z526" i="2"/>
  <c r="Z525" i="2"/>
  <c r="Z524" i="2"/>
  <c r="Z523" i="2"/>
  <c r="Z522" i="2"/>
  <c r="U522" i="2"/>
  <c r="T522" i="2"/>
  <c r="Z521" i="2"/>
  <c r="Z520" i="2"/>
  <c r="Z519" i="2"/>
  <c r="U519" i="2"/>
  <c r="T519" i="2"/>
  <c r="Z518" i="2"/>
  <c r="Z517" i="2"/>
  <c r="Z516" i="2"/>
  <c r="Z515" i="2"/>
  <c r="Z514" i="2"/>
  <c r="U514" i="2"/>
  <c r="T514" i="2"/>
  <c r="Z513" i="2"/>
  <c r="U513" i="2"/>
  <c r="T513" i="2"/>
  <c r="Z512" i="2"/>
  <c r="Z511" i="2"/>
  <c r="U511" i="2"/>
  <c r="T511" i="2"/>
  <c r="Z510" i="2"/>
  <c r="Z509" i="2"/>
  <c r="Z508" i="2"/>
  <c r="Z507" i="2"/>
  <c r="Z506" i="2"/>
  <c r="Z505" i="2"/>
  <c r="Z504" i="2"/>
  <c r="Z503" i="2"/>
  <c r="Z502" i="2"/>
  <c r="Z501" i="2"/>
  <c r="U501" i="2"/>
  <c r="T501" i="2"/>
  <c r="Z500" i="2"/>
  <c r="Z499" i="2"/>
  <c r="U499" i="2"/>
  <c r="T499" i="2"/>
  <c r="Z498" i="2"/>
  <c r="Z497" i="2"/>
  <c r="Z496" i="2"/>
  <c r="Z495" i="2"/>
  <c r="Z494" i="2"/>
  <c r="Z493" i="2"/>
  <c r="Z492" i="2"/>
  <c r="Z491" i="2"/>
  <c r="Z490" i="2"/>
  <c r="Z489" i="2"/>
  <c r="Z488" i="2"/>
  <c r="Z487" i="2"/>
  <c r="Z486" i="2"/>
  <c r="U486" i="2"/>
  <c r="T486" i="2"/>
  <c r="Z485" i="2"/>
  <c r="Z484" i="2"/>
  <c r="Z483" i="2"/>
  <c r="U483" i="2"/>
  <c r="T483" i="2"/>
  <c r="Z482" i="2"/>
  <c r="Z481" i="2"/>
  <c r="Z480" i="2"/>
  <c r="U480" i="2"/>
  <c r="T480" i="2"/>
  <c r="Z479" i="2"/>
  <c r="Z478" i="2"/>
  <c r="Z477" i="2"/>
  <c r="Z476" i="2"/>
  <c r="Z475" i="2"/>
  <c r="U475" i="2"/>
  <c r="T475" i="2"/>
  <c r="Z474" i="2"/>
  <c r="Z473" i="2"/>
  <c r="Z472" i="2"/>
  <c r="U472" i="2"/>
  <c r="T472" i="2"/>
  <c r="Z471" i="2"/>
  <c r="Z470" i="2"/>
  <c r="U470" i="2"/>
  <c r="T470" i="2"/>
  <c r="Z469" i="2"/>
  <c r="U469" i="2"/>
  <c r="T469" i="2"/>
  <c r="Z468" i="2"/>
  <c r="Z467" i="2"/>
  <c r="Z466" i="2"/>
  <c r="U466" i="2"/>
  <c r="T466" i="2"/>
  <c r="Z465" i="2"/>
  <c r="Z464" i="2"/>
  <c r="Z463" i="2"/>
  <c r="Z462" i="2"/>
  <c r="Z461" i="2"/>
  <c r="Z460" i="2"/>
  <c r="Z459" i="2"/>
  <c r="Z458" i="2"/>
  <c r="Z457" i="2"/>
  <c r="Z456" i="2"/>
  <c r="U456" i="2"/>
  <c r="T456" i="2"/>
  <c r="Z455" i="2"/>
  <c r="Z454" i="2"/>
  <c r="Z453" i="2"/>
  <c r="Z452" i="2"/>
  <c r="Z451" i="2"/>
  <c r="Z450" i="2"/>
  <c r="Z449" i="2"/>
  <c r="Z448" i="2"/>
  <c r="U448" i="2"/>
  <c r="T448" i="2"/>
  <c r="Z447" i="2"/>
  <c r="Z446" i="2"/>
  <c r="Z445" i="2"/>
  <c r="Z444" i="2"/>
  <c r="Z443" i="2"/>
  <c r="Z442" i="2"/>
  <c r="Z441" i="2"/>
  <c r="Z440" i="2"/>
  <c r="Z439" i="2"/>
  <c r="U439" i="2"/>
  <c r="T439" i="2"/>
  <c r="Z438" i="2"/>
  <c r="U438" i="2"/>
  <c r="T438" i="2"/>
  <c r="Z437" i="2"/>
  <c r="Z436" i="2"/>
  <c r="Z435" i="2"/>
  <c r="Z434" i="2"/>
  <c r="Z433" i="2"/>
  <c r="Z432" i="2"/>
  <c r="Z431" i="2"/>
  <c r="Z430" i="2"/>
  <c r="Z429" i="2"/>
  <c r="Z428" i="2"/>
  <c r="Z427" i="2"/>
  <c r="U427" i="2"/>
  <c r="T427" i="2"/>
  <c r="Z426" i="2"/>
  <c r="Z425" i="2"/>
  <c r="Z424" i="2"/>
  <c r="Z423" i="2"/>
  <c r="U423" i="2"/>
  <c r="T423" i="2"/>
  <c r="Z422" i="2"/>
  <c r="Z421" i="2"/>
  <c r="Z420" i="2"/>
  <c r="Z419" i="2"/>
  <c r="U419" i="2"/>
  <c r="T419" i="2"/>
  <c r="Z418" i="2"/>
  <c r="U418" i="2"/>
  <c r="T418" i="2"/>
  <c r="Z417" i="2"/>
  <c r="U417" i="2"/>
  <c r="T417" i="2"/>
  <c r="Z416" i="2"/>
  <c r="U416" i="2"/>
  <c r="T416" i="2"/>
  <c r="Z415" i="2"/>
  <c r="Z414" i="2"/>
  <c r="Z413" i="2"/>
  <c r="Z412" i="2"/>
  <c r="Z411" i="2"/>
  <c r="Z410" i="2"/>
  <c r="Z409" i="2"/>
  <c r="Z408" i="2"/>
  <c r="Z407" i="2"/>
  <c r="Z406" i="2"/>
  <c r="U406" i="2"/>
  <c r="T406" i="2"/>
  <c r="Z405" i="2"/>
  <c r="U405" i="2"/>
  <c r="T405" i="2"/>
  <c r="Z404" i="2"/>
  <c r="U404" i="2"/>
  <c r="T404" i="2"/>
  <c r="Z403" i="2"/>
  <c r="Z402" i="2"/>
  <c r="Z401" i="2"/>
  <c r="Z400" i="2"/>
  <c r="Z399" i="2"/>
  <c r="Z398" i="2"/>
  <c r="Z397" i="2"/>
  <c r="U397" i="2"/>
  <c r="T397" i="2"/>
  <c r="Z396" i="2"/>
  <c r="Z395" i="2"/>
  <c r="Z394" i="2"/>
  <c r="U394" i="2"/>
  <c r="T394" i="2"/>
  <c r="Z393" i="2"/>
  <c r="Z392" i="2"/>
  <c r="Z391" i="2"/>
  <c r="Z390" i="2"/>
  <c r="U390" i="2"/>
  <c r="T390" i="2"/>
  <c r="Z389" i="2"/>
  <c r="Z388" i="2"/>
  <c r="Z387" i="2"/>
  <c r="U387" i="2"/>
  <c r="T387" i="2"/>
  <c r="Z386" i="2"/>
  <c r="U386" i="2"/>
  <c r="T386" i="2"/>
  <c r="Z385" i="2"/>
  <c r="Z384" i="2"/>
  <c r="Z383" i="2"/>
  <c r="U383" i="2"/>
  <c r="T383" i="2"/>
  <c r="Z382" i="2"/>
  <c r="Z381" i="2"/>
  <c r="U381" i="2"/>
  <c r="T381" i="2"/>
  <c r="Z380" i="2"/>
  <c r="U380" i="2"/>
  <c r="T380" i="2"/>
  <c r="Z379" i="2"/>
  <c r="Z378" i="2"/>
  <c r="Z377" i="2"/>
  <c r="Z376" i="2"/>
  <c r="Z375" i="2"/>
  <c r="Z374" i="2"/>
  <c r="Z373" i="2"/>
  <c r="Z372" i="2"/>
  <c r="Z371" i="2"/>
  <c r="Z370" i="2"/>
  <c r="Z369" i="2"/>
  <c r="Z368" i="2"/>
  <c r="Z367" i="2"/>
  <c r="Z366" i="2"/>
  <c r="Z365" i="2"/>
  <c r="Z364" i="2"/>
  <c r="U364" i="2"/>
  <c r="T364" i="2"/>
  <c r="Z363" i="2"/>
  <c r="Z362" i="2"/>
  <c r="U362" i="2"/>
  <c r="T362" i="2"/>
  <c r="Z361" i="2"/>
  <c r="Z360" i="2"/>
  <c r="U360" i="2"/>
  <c r="T360" i="2"/>
  <c r="Z359" i="2"/>
  <c r="Z358" i="2"/>
  <c r="Z357" i="2"/>
  <c r="Z356" i="2"/>
  <c r="U356" i="2"/>
  <c r="T356" i="2"/>
  <c r="Z355" i="2"/>
  <c r="Z354" i="2"/>
  <c r="U354" i="2"/>
  <c r="T354" i="2"/>
  <c r="Z353" i="2"/>
  <c r="Z352" i="2"/>
  <c r="Z351" i="2"/>
  <c r="Z350" i="2"/>
  <c r="Z349" i="2"/>
  <c r="Z348" i="2"/>
  <c r="Z347" i="2"/>
  <c r="Z346" i="2"/>
  <c r="U346" i="2"/>
  <c r="T346" i="2"/>
  <c r="Z345" i="2"/>
  <c r="Z344" i="2"/>
  <c r="U344" i="2"/>
  <c r="T344" i="2"/>
  <c r="Z343" i="2"/>
  <c r="U343" i="2"/>
  <c r="T343" i="2"/>
  <c r="Z342" i="2"/>
  <c r="Z341" i="2"/>
  <c r="Z340" i="2"/>
  <c r="Z339" i="2"/>
  <c r="Z338" i="2"/>
  <c r="Z337" i="2"/>
  <c r="Z336" i="2"/>
  <c r="U336" i="2"/>
  <c r="T336" i="2"/>
  <c r="Z335" i="2"/>
  <c r="Z334" i="2"/>
  <c r="U334" i="2"/>
  <c r="T334" i="2"/>
  <c r="Z333" i="2"/>
  <c r="U333" i="2"/>
  <c r="T333" i="2"/>
  <c r="Z332" i="2"/>
  <c r="U332" i="2"/>
  <c r="T332" i="2"/>
  <c r="Z331" i="2"/>
  <c r="Z330" i="2"/>
  <c r="Z329" i="2"/>
  <c r="Z328" i="2"/>
  <c r="Z327" i="2"/>
  <c r="Z326" i="2"/>
  <c r="Z325" i="2"/>
  <c r="Z324" i="2"/>
  <c r="Z323" i="2"/>
  <c r="Z322" i="2"/>
  <c r="U322" i="2"/>
  <c r="T322" i="2"/>
  <c r="Z321" i="2"/>
  <c r="U321" i="2"/>
  <c r="T321" i="2"/>
  <c r="Z320" i="2"/>
  <c r="U320" i="2"/>
  <c r="T320" i="2"/>
  <c r="Z319" i="2"/>
  <c r="U319" i="2"/>
  <c r="T319" i="2"/>
  <c r="Z318" i="2"/>
  <c r="Z317" i="2"/>
  <c r="Z316" i="2"/>
  <c r="U316" i="2"/>
  <c r="T316" i="2"/>
  <c r="Z315" i="2"/>
  <c r="U315" i="2"/>
  <c r="T315" i="2"/>
  <c r="Z314" i="2"/>
  <c r="U314" i="2"/>
  <c r="T314" i="2"/>
  <c r="Z313" i="2"/>
  <c r="U313" i="2"/>
  <c r="T313" i="2"/>
  <c r="Z312" i="2"/>
  <c r="U312" i="2"/>
  <c r="T312" i="2"/>
  <c r="Z311" i="2"/>
  <c r="U311" i="2"/>
  <c r="T311" i="2"/>
  <c r="Z310" i="2"/>
  <c r="U310" i="2"/>
  <c r="T310" i="2"/>
  <c r="Z309" i="2"/>
  <c r="U309" i="2"/>
  <c r="T309" i="2"/>
  <c r="Z308" i="2"/>
  <c r="U308" i="2"/>
  <c r="T308" i="2"/>
  <c r="Z307" i="2"/>
  <c r="Z306" i="2"/>
  <c r="U306" i="2"/>
  <c r="T306" i="2"/>
  <c r="Z305" i="2"/>
  <c r="Z304" i="2"/>
  <c r="U304" i="2"/>
  <c r="T304" i="2"/>
  <c r="Z303" i="2"/>
  <c r="Z302" i="2"/>
  <c r="U302" i="2"/>
  <c r="T302" i="2"/>
  <c r="Z301" i="2"/>
  <c r="U301" i="2"/>
  <c r="T301" i="2"/>
  <c r="Z300" i="2"/>
  <c r="Z299" i="2"/>
  <c r="U299" i="2"/>
  <c r="T299" i="2"/>
  <c r="Z298" i="2"/>
  <c r="Z297" i="2"/>
  <c r="Z296" i="2"/>
  <c r="U296" i="2"/>
  <c r="T296" i="2"/>
  <c r="Z295" i="2"/>
  <c r="Z294" i="2"/>
  <c r="Z293" i="2"/>
  <c r="Z292" i="2"/>
  <c r="U292" i="2"/>
  <c r="T292" i="2"/>
  <c r="Z291" i="2"/>
  <c r="Z290" i="2"/>
  <c r="U290" i="2"/>
  <c r="T290" i="2"/>
  <c r="Z289" i="2"/>
  <c r="U289" i="2"/>
  <c r="T289" i="2"/>
  <c r="Z288" i="2"/>
  <c r="Z287" i="2"/>
  <c r="Z286" i="2"/>
  <c r="Z285" i="2"/>
  <c r="Z284" i="2"/>
  <c r="Z283" i="2"/>
  <c r="Z282" i="2"/>
  <c r="U282" i="2"/>
  <c r="T282" i="2"/>
  <c r="Z281" i="2"/>
  <c r="Z280" i="2"/>
  <c r="Z279" i="2"/>
  <c r="Z278" i="2"/>
  <c r="Z277" i="2"/>
  <c r="Z276" i="2"/>
  <c r="Z275" i="2"/>
  <c r="Z274" i="2"/>
  <c r="Z273" i="2"/>
  <c r="Z272" i="2"/>
  <c r="Z271" i="2"/>
  <c r="Z270" i="2"/>
  <c r="Z269" i="2"/>
  <c r="Z268" i="2"/>
  <c r="Z267" i="2"/>
  <c r="Z266" i="2"/>
  <c r="U266" i="2"/>
  <c r="T266" i="2"/>
  <c r="Z265" i="2"/>
  <c r="Z264" i="2"/>
  <c r="Z263" i="2"/>
  <c r="U263" i="2"/>
  <c r="T263" i="2"/>
  <c r="Z262" i="2"/>
  <c r="Z261" i="2"/>
  <c r="Z260" i="2"/>
  <c r="Z259" i="2"/>
  <c r="U259" i="2"/>
  <c r="T259" i="2"/>
  <c r="Z258" i="2"/>
  <c r="Z257" i="2"/>
  <c r="Z256" i="2"/>
  <c r="Z255" i="2"/>
  <c r="Z254" i="2"/>
  <c r="Z253" i="2"/>
  <c r="Z252" i="2"/>
  <c r="U252" i="2"/>
  <c r="T252" i="2"/>
  <c r="Z251" i="2"/>
  <c r="Z250" i="2"/>
  <c r="U250" i="2"/>
  <c r="T250" i="2"/>
  <c r="Z249" i="2"/>
  <c r="U249" i="2"/>
  <c r="T249" i="2"/>
  <c r="Z248" i="2"/>
  <c r="Z247" i="2"/>
  <c r="Z246" i="2"/>
  <c r="Z245" i="2"/>
  <c r="U245" i="2"/>
  <c r="T245" i="2"/>
  <c r="Z244" i="2"/>
  <c r="Z243" i="2"/>
  <c r="Z242" i="2"/>
  <c r="U242" i="2"/>
  <c r="T242" i="2"/>
  <c r="Z241" i="2"/>
  <c r="Z240" i="2"/>
  <c r="Z239" i="2"/>
  <c r="Z238" i="2"/>
  <c r="Z237" i="2"/>
  <c r="Z236" i="2"/>
  <c r="Z235" i="2"/>
  <c r="U235" i="2"/>
  <c r="T235" i="2"/>
  <c r="Z234" i="2"/>
  <c r="U234" i="2"/>
  <c r="T234" i="2"/>
  <c r="Z233" i="2"/>
  <c r="U233" i="2"/>
  <c r="T233" i="2"/>
  <c r="Z232" i="2"/>
  <c r="U232" i="2"/>
  <c r="T232" i="2"/>
  <c r="Z231" i="2"/>
  <c r="U231" i="2"/>
  <c r="T231" i="2"/>
  <c r="Z230" i="2"/>
  <c r="U230" i="2"/>
  <c r="T230" i="2"/>
  <c r="Z229" i="2"/>
  <c r="U229" i="2"/>
  <c r="T229" i="2"/>
  <c r="Z228" i="2"/>
  <c r="U228" i="2"/>
  <c r="T228" i="2"/>
  <c r="Z227" i="2"/>
  <c r="U227" i="2"/>
  <c r="T227" i="2"/>
  <c r="Z226" i="2"/>
  <c r="U226" i="2"/>
  <c r="T226" i="2"/>
  <c r="Z225" i="2"/>
  <c r="Z224" i="2"/>
  <c r="Z223" i="2"/>
  <c r="Z222" i="2"/>
  <c r="U222" i="2"/>
  <c r="T222" i="2"/>
  <c r="Z221" i="2"/>
  <c r="U221" i="2"/>
  <c r="T221" i="2"/>
  <c r="Z220" i="2"/>
  <c r="Z219" i="2"/>
  <c r="Z218" i="2"/>
  <c r="Z217" i="2"/>
  <c r="Z216" i="2"/>
  <c r="Z215" i="2"/>
  <c r="U215" i="2"/>
  <c r="T215" i="2"/>
  <c r="Z214" i="2"/>
  <c r="U214" i="2"/>
  <c r="T214" i="2"/>
  <c r="Z213" i="2"/>
  <c r="Z212" i="2"/>
  <c r="Z211" i="2"/>
  <c r="Z210" i="2"/>
  <c r="Z209" i="2"/>
  <c r="Z208" i="2"/>
  <c r="U208" i="2"/>
  <c r="T208" i="2"/>
  <c r="Z207" i="2"/>
  <c r="Z206" i="2"/>
  <c r="U206" i="2"/>
  <c r="T206" i="2"/>
  <c r="Z205" i="2"/>
  <c r="Z204" i="2"/>
  <c r="Z203" i="2"/>
  <c r="Z202" i="2"/>
  <c r="Z201" i="2"/>
  <c r="Z200" i="2"/>
  <c r="Z199" i="2"/>
  <c r="Z198" i="2"/>
  <c r="Z197" i="2"/>
  <c r="Z196" i="2"/>
  <c r="Z195" i="2"/>
  <c r="Z194" i="2"/>
  <c r="Z193" i="2"/>
  <c r="Z192" i="2"/>
  <c r="Z191" i="2"/>
  <c r="Z190" i="2"/>
  <c r="Z189" i="2"/>
  <c r="Z188" i="2"/>
  <c r="Z187" i="2"/>
  <c r="Z186" i="2"/>
  <c r="U186" i="2"/>
  <c r="T186" i="2"/>
  <c r="Z185" i="2"/>
  <c r="Z184" i="2"/>
  <c r="Z183" i="2"/>
  <c r="Z182" i="2"/>
  <c r="Z181" i="2"/>
  <c r="Z180" i="2"/>
  <c r="U180" i="2"/>
  <c r="T180" i="2"/>
  <c r="Z179" i="2"/>
  <c r="U179" i="2"/>
  <c r="T179" i="2"/>
  <c r="Z178" i="2"/>
  <c r="Z177" i="2"/>
  <c r="Z176" i="2"/>
  <c r="Z175" i="2"/>
  <c r="Z174" i="2"/>
  <c r="Z173" i="2"/>
  <c r="U173" i="2"/>
  <c r="T173" i="2"/>
  <c r="Z172" i="2"/>
  <c r="Z171" i="2"/>
  <c r="U171" i="2"/>
  <c r="T171" i="2"/>
  <c r="Z170" i="2"/>
  <c r="Z169" i="2"/>
  <c r="Z168" i="2"/>
  <c r="Z167" i="2"/>
  <c r="Z166" i="2"/>
  <c r="Z165" i="2"/>
  <c r="Z164" i="2"/>
  <c r="U164" i="2"/>
  <c r="T164" i="2"/>
  <c r="Z163" i="2"/>
  <c r="U163" i="2"/>
  <c r="T163" i="2"/>
  <c r="Z162" i="2"/>
  <c r="Z161" i="2"/>
  <c r="U161" i="2"/>
  <c r="T161" i="2"/>
  <c r="Z160" i="2"/>
  <c r="U160" i="2"/>
  <c r="T160" i="2"/>
  <c r="Z159" i="2"/>
  <c r="Z158" i="2"/>
  <c r="Z157" i="2"/>
  <c r="U157" i="2"/>
  <c r="T157" i="2"/>
  <c r="Z156" i="2"/>
  <c r="Z155" i="2"/>
  <c r="Z154" i="2"/>
  <c r="Z153" i="2"/>
  <c r="U153" i="2"/>
  <c r="T153" i="2"/>
  <c r="Z152" i="2"/>
  <c r="Z151" i="2"/>
  <c r="Z150" i="2"/>
  <c r="U150" i="2"/>
  <c r="T150" i="2"/>
  <c r="Z149" i="2"/>
  <c r="U149" i="2"/>
  <c r="T149" i="2"/>
  <c r="Z148" i="2"/>
  <c r="Z147" i="2"/>
  <c r="U147" i="2"/>
  <c r="T147" i="2"/>
  <c r="Z146" i="2"/>
  <c r="Z145" i="2"/>
  <c r="Z144" i="2"/>
  <c r="Z143" i="2"/>
  <c r="Z142" i="2"/>
  <c r="Z141" i="2"/>
  <c r="Z140" i="2"/>
  <c r="Z139" i="2"/>
  <c r="Z138" i="2"/>
  <c r="Z137" i="2"/>
  <c r="Z136" i="2"/>
  <c r="Z135" i="2"/>
  <c r="Z134" i="2"/>
  <c r="Z133" i="2"/>
  <c r="Z132" i="2"/>
  <c r="Z131" i="2"/>
  <c r="Z130" i="2"/>
  <c r="Z129" i="2"/>
  <c r="U129" i="2"/>
  <c r="T129" i="2"/>
  <c r="Z128" i="2"/>
  <c r="Z127" i="2"/>
  <c r="Z126" i="2"/>
  <c r="Z125" i="2"/>
  <c r="Z124" i="2"/>
  <c r="Z123" i="2"/>
  <c r="Z122" i="2"/>
  <c r="Z121" i="2"/>
  <c r="Z120" i="2"/>
  <c r="U120" i="2"/>
  <c r="T120" i="2"/>
  <c r="Z119" i="2"/>
  <c r="Z118" i="2"/>
  <c r="Z117" i="2"/>
  <c r="U117" i="2"/>
  <c r="T117" i="2"/>
  <c r="Z116" i="2"/>
  <c r="U116" i="2"/>
  <c r="T116" i="2"/>
  <c r="Z115" i="2"/>
  <c r="U115" i="2"/>
  <c r="T115" i="2"/>
  <c r="Z114" i="2"/>
  <c r="Z113" i="2"/>
  <c r="Z112" i="2"/>
  <c r="Z111" i="2"/>
  <c r="Z110" i="2"/>
  <c r="Z109" i="2"/>
  <c r="Z108" i="2"/>
  <c r="U108" i="2"/>
  <c r="T108" i="2"/>
  <c r="Z107" i="2"/>
  <c r="Z106" i="2"/>
  <c r="Z105" i="2"/>
  <c r="Z104" i="2"/>
  <c r="U104" i="2"/>
  <c r="T104" i="2"/>
  <c r="Z103" i="2"/>
  <c r="U103" i="2"/>
  <c r="T103" i="2"/>
  <c r="Z102" i="2"/>
  <c r="Z101" i="2"/>
  <c r="Z100" i="2"/>
  <c r="U100" i="2"/>
  <c r="T100" i="2"/>
  <c r="Z99" i="2"/>
  <c r="U99" i="2"/>
  <c r="T99" i="2"/>
  <c r="Z98" i="2"/>
  <c r="Z97" i="2"/>
  <c r="Z96" i="2"/>
  <c r="Z95" i="2"/>
  <c r="Z94" i="2"/>
  <c r="Z93" i="2"/>
  <c r="Z92" i="2"/>
  <c r="Z91" i="2"/>
  <c r="Z90" i="2"/>
  <c r="Z89" i="2"/>
  <c r="Z88" i="2"/>
  <c r="Z87" i="2"/>
  <c r="Z86" i="2"/>
  <c r="Z85" i="2"/>
  <c r="Z84" i="2"/>
  <c r="Z83" i="2"/>
  <c r="Z82" i="2"/>
  <c r="U82" i="2"/>
  <c r="T82" i="2"/>
  <c r="Z81" i="2"/>
  <c r="Z80" i="2"/>
  <c r="U80" i="2"/>
  <c r="T80" i="2"/>
  <c r="Z79" i="2"/>
  <c r="Z78" i="2"/>
  <c r="Z77" i="2"/>
  <c r="Z76" i="2"/>
  <c r="U76" i="2"/>
  <c r="T76" i="2"/>
  <c r="Z75" i="2"/>
  <c r="Z74" i="2"/>
  <c r="Z73" i="2"/>
  <c r="Z72" i="2"/>
  <c r="U72" i="2"/>
  <c r="T72" i="2"/>
  <c r="Z71" i="2"/>
  <c r="Z70" i="2"/>
  <c r="Z69" i="2"/>
  <c r="Z68" i="2"/>
  <c r="Z67" i="2"/>
  <c r="Z66" i="2"/>
  <c r="Z65" i="2"/>
  <c r="U65" i="2"/>
  <c r="T65" i="2"/>
  <c r="Z64" i="2"/>
  <c r="U64" i="2"/>
  <c r="T64" i="2"/>
  <c r="Z63" i="2"/>
  <c r="Z62" i="2"/>
  <c r="Z61" i="2"/>
  <c r="U61" i="2"/>
  <c r="T61" i="2"/>
  <c r="Z60" i="2"/>
  <c r="Z59" i="2"/>
  <c r="U59" i="2"/>
  <c r="T59" i="2"/>
  <c r="Z58" i="2"/>
  <c r="U58" i="2"/>
  <c r="T58" i="2"/>
  <c r="Z57" i="2"/>
  <c r="Z56" i="2"/>
  <c r="Z55" i="2"/>
  <c r="Z54" i="2"/>
  <c r="U54" i="2"/>
  <c r="T54" i="2"/>
  <c r="Z53" i="2"/>
  <c r="Z52" i="2"/>
  <c r="Z51" i="2"/>
  <c r="U51" i="2"/>
  <c r="T51" i="2"/>
  <c r="Z50" i="2"/>
  <c r="Z49" i="2"/>
  <c r="Z48" i="2"/>
  <c r="Z47" i="2"/>
  <c r="U47" i="2"/>
  <c r="T47" i="2"/>
  <c r="Z46" i="2"/>
  <c r="Z45" i="2"/>
  <c r="Z44" i="2"/>
  <c r="Z43" i="2"/>
  <c r="Z42" i="2"/>
  <c r="Z41" i="2"/>
  <c r="Z40" i="2"/>
  <c r="Z39" i="2"/>
  <c r="Z38" i="2"/>
  <c r="Z37" i="2"/>
  <c r="Z36" i="2"/>
  <c r="U36" i="2"/>
  <c r="T36" i="2"/>
  <c r="Z35" i="2"/>
  <c r="U35" i="2"/>
  <c r="T35" i="2"/>
  <c r="Z34" i="2"/>
  <c r="Z33" i="2"/>
  <c r="U33" i="2"/>
  <c r="T33" i="2"/>
  <c r="Z32" i="2"/>
  <c r="U32" i="2"/>
  <c r="T32" i="2"/>
  <c r="Z31" i="2"/>
  <c r="Z30" i="2"/>
  <c r="Z29" i="2"/>
  <c r="Z28" i="2"/>
  <c r="U28" i="2"/>
  <c r="T28" i="2"/>
  <c r="Z27" i="2"/>
  <c r="Z26" i="2"/>
  <c r="Z25" i="2"/>
  <c r="Z24" i="2"/>
  <c r="Z23" i="2"/>
  <c r="Z22" i="2"/>
  <c r="U22" i="2"/>
  <c r="T22" i="2"/>
  <c r="Z21" i="2"/>
  <c r="U21" i="2"/>
  <c r="T21" i="2"/>
  <c r="Z20" i="2"/>
  <c r="Z19" i="2"/>
  <c r="Z18" i="2"/>
  <c r="U18" i="2"/>
  <c r="T18" i="2"/>
  <c r="Z17" i="2"/>
  <c r="Z16" i="2"/>
  <c r="Z15" i="2"/>
  <c r="Z14" i="2"/>
  <c r="Z13" i="2"/>
  <c r="Z12" i="2"/>
  <c r="Z11" i="2"/>
  <c r="D162" i="35" l="1"/>
  <c r="E162" i="35" s="1"/>
  <c r="G162" i="35" s="1"/>
  <c r="D161" i="35"/>
  <c r="E161" i="35" s="1"/>
  <c r="G161" i="35" s="1"/>
  <c r="D160" i="35"/>
  <c r="E160" i="35" s="1"/>
  <c r="G160" i="35" s="1"/>
  <c r="D158" i="35"/>
  <c r="C158" i="35"/>
  <c r="D150" i="35"/>
  <c r="E150" i="35" s="1"/>
  <c r="G150" i="35" s="1"/>
  <c r="D145" i="35"/>
  <c r="E145" i="35" s="1"/>
  <c r="G145" i="35" s="1"/>
  <c r="C145" i="35"/>
  <c r="D134" i="35"/>
  <c r="E134" i="35" s="1"/>
  <c r="G134" i="35" s="1"/>
  <c r="D129" i="35"/>
  <c r="E129" i="35" s="1"/>
  <c r="G129" i="35" s="1"/>
  <c r="D124" i="35"/>
  <c r="C124" i="35"/>
  <c r="D116" i="35"/>
  <c r="C116" i="35"/>
  <c r="D99" i="35"/>
  <c r="C99" i="35"/>
  <c r="D91" i="35"/>
  <c r="E91" i="35" s="1"/>
  <c r="G91" i="35" s="1"/>
  <c r="D86" i="35"/>
  <c r="C86" i="35"/>
  <c r="D81" i="35"/>
  <c r="C81" i="35"/>
  <c r="D76" i="35"/>
  <c r="C76" i="35"/>
  <c r="D71" i="35"/>
  <c r="C71" i="35"/>
  <c r="D51" i="35"/>
  <c r="E51" i="35" s="1"/>
  <c r="G51" i="35" s="1"/>
  <c r="D43" i="35"/>
  <c r="E43" i="35" s="1"/>
  <c r="G43" i="35" s="1"/>
  <c r="D29" i="35"/>
  <c r="C29" i="35"/>
  <c r="D164" i="35"/>
  <c r="E164" i="35" s="1"/>
  <c r="G164" i="35" s="1"/>
  <c r="C25" i="35"/>
  <c r="C28" i="35"/>
  <c r="C30" i="35"/>
  <c r="C72" i="35"/>
  <c r="C77" i="35"/>
  <c r="C82" i="35"/>
  <c r="C85" i="35"/>
  <c r="C87" i="35"/>
  <c r="C98" i="35"/>
  <c r="C100" i="35"/>
  <c r="C103" i="35"/>
  <c r="C106" i="35"/>
  <c r="C112" i="35"/>
  <c r="C115" i="35"/>
  <c r="C117" i="35"/>
  <c r="C120" i="35"/>
  <c r="C123" i="35"/>
  <c r="C125" i="35"/>
  <c r="C144" i="35"/>
  <c r="C146" i="35"/>
  <c r="C157" i="35"/>
  <c r="C159" i="35"/>
  <c r="I1720" i="2"/>
  <c r="K1720" i="2" s="1"/>
  <c r="I1721" i="2"/>
  <c r="M1721" i="2" s="1"/>
  <c r="I1722" i="2"/>
  <c r="K1722" i="2" s="1"/>
  <c r="I1723" i="2"/>
  <c r="M1723" i="2" s="1"/>
  <c r="I1724" i="2"/>
  <c r="M1724" i="2" s="1"/>
  <c r="I1725" i="2"/>
  <c r="L1725" i="2" s="1"/>
  <c r="Q1725" i="2" s="1"/>
  <c r="I1726" i="2"/>
  <c r="M1726" i="2" s="1"/>
  <c r="I1727" i="2"/>
  <c r="L1727" i="2" s="1"/>
  <c r="Q1727" i="2" s="1"/>
  <c r="I1728" i="2"/>
  <c r="K1728" i="2" s="1"/>
  <c r="I1729" i="2"/>
  <c r="M1729" i="2" s="1"/>
  <c r="I1730" i="2"/>
  <c r="M1730" i="2" s="1"/>
  <c r="I1731" i="2"/>
  <c r="L1731" i="2" s="1"/>
  <c r="Q1731" i="2" s="1"/>
  <c r="I1732" i="2"/>
  <c r="K1732" i="2" s="1"/>
  <c r="I1733" i="2"/>
  <c r="K1733" i="2" s="1"/>
  <c r="I1734" i="2"/>
  <c r="M1734" i="2" s="1"/>
  <c r="I1735" i="2"/>
  <c r="L1735" i="2" s="1"/>
  <c r="Q1735" i="2" s="1"/>
  <c r="I1736" i="2"/>
  <c r="K1736" i="2" s="1"/>
  <c r="I1737" i="2"/>
  <c r="M1737" i="2" s="1"/>
  <c r="I1738" i="2"/>
  <c r="M1738" i="2" s="1"/>
  <c r="I1739" i="2"/>
  <c r="M1739" i="2" s="1"/>
  <c r="I1740" i="2"/>
  <c r="L1740" i="2" s="1"/>
  <c r="Q1740" i="2" s="1"/>
  <c r="I1741" i="2"/>
  <c r="K1741" i="2" s="1"/>
  <c r="I1742" i="2"/>
  <c r="M1742" i="2" s="1"/>
  <c r="I1743" i="2"/>
  <c r="M1743" i="2" s="1"/>
  <c r="I1744" i="2"/>
  <c r="L1744" i="2" s="1"/>
  <c r="Q1744" i="2" s="1"/>
  <c r="I1745" i="2"/>
  <c r="M1745" i="2" s="1"/>
  <c r="I1746" i="2"/>
  <c r="M1746" i="2" s="1"/>
  <c r="I1747" i="2"/>
  <c r="L1747" i="2" s="1"/>
  <c r="Q1747" i="2" s="1"/>
  <c r="I1748" i="2"/>
  <c r="K1748" i="2" s="1"/>
  <c r="I1749" i="2"/>
  <c r="M1749" i="2" s="1"/>
  <c r="I1750" i="2"/>
  <c r="M1750" i="2" s="1"/>
  <c r="I1751" i="2"/>
  <c r="M1751" i="2" s="1"/>
  <c r="I1752" i="2"/>
  <c r="L1752" i="2" s="1"/>
  <c r="Q1752" i="2" s="1"/>
  <c r="I1753" i="2"/>
  <c r="L1753" i="2" s="1"/>
  <c r="Q1753" i="2" s="1"/>
  <c r="I1754" i="2"/>
  <c r="M1754" i="2" s="1"/>
  <c r="I1755" i="2"/>
  <c r="M1755" i="2" s="1"/>
  <c r="I1756" i="2"/>
  <c r="K1756" i="2" s="1"/>
  <c r="I1757" i="2"/>
  <c r="K1757" i="2" s="1"/>
  <c r="I1758" i="2"/>
  <c r="M1758" i="2" s="1"/>
  <c r="I1759" i="2"/>
  <c r="M1759" i="2" s="1"/>
  <c r="I1760" i="2"/>
  <c r="M1760" i="2" s="1"/>
  <c r="I1761" i="2"/>
  <c r="K1761" i="2" s="1"/>
  <c r="I1762" i="2"/>
  <c r="M1762" i="2" s="1"/>
  <c r="I1763" i="2"/>
  <c r="M1763" i="2" s="1"/>
  <c r="I1764" i="2"/>
  <c r="K1764" i="2" s="1"/>
  <c r="I1765" i="2"/>
  <c r="K1765" i="2" s="1"/>
  <c r="I1766" i="2"/>
  <c r="M1766" i="2" s="1"/>
  <c r="I1767" i="2"/>
  <c r="M1767" i="2" s="1"/>
  <c r="I1768" i="2"/>
  <c r="M1768" i="2" s="1"/>
  <c r="I1769" i="2"/>
  <c r="M1769" i="2" s="1"/>
  <c r="I1770" i="2"/>
  <c r="M1770" i="2" s="1"/>
  <c r="I1771" i="2"/>
  <c r="L1771" i="2" s="1"/>
  <c r="Q1771" i="2" s="1"/>
  <c r="I1772" i="2"/>
  <c r="L1772" i="2" s="1"/>
  <c r="Q1772" i="2" s="1"/>
  <c r="I1773" i="2"/>
  <c r="K1773" i="2" s="1"/>
  <c r="I1774" i="2"/>
  <c r="M1774" i="2" s="1"/>
  <c r="I1775" i="2"/>
  <c r="K1775" i="2" s="1"/>
  <c r="I1776" i="2"/>
  <c r="L1776" i="2" s="1"/>
  <c r="Q1776" i="2" s="1"/>
  <c r="I1777" i="2"/>
  <c r="K1777" i="2" s="1"/>
  <c r="I1778" i="2"/>
  <c r="M1778" i="2" s="1"/>
  <c r="I1779" i="2"/>
  <c r="M1779" i="2" s="1"/>
  <c r="I1780" i="2"/>
  <c r="K1780" i="2" s="1"/>
  <c r="I1781" i="2"/>
  <c r="M1781" i="2" s="1"/>
  <c r="I1782" i="2"/>
  <c r="M1782" i="2" s="1"/>
  <c r="I1783" i="2"/>
  <c r="L1783" i="2" s="1"/>
  <c r="Q1783" i="2" s="1"/>
  <c r="I1784" i="2"/>
  <c r="L1784" i="2" s="1"/>
  <c r="Q1784" i="2" s="1"/>
  <c r="I1785" i="2"/>
  <c r="M1785" i="2" s="1"/>
  <c r="I1786" i="2"/>
  <c r="M1786" i="2" s="1"/>
  <c r="I1787" i="2"/>
  <c r="L1787" i="2" s="1"/>
  <c r="Q1787" i="2" s="1"/>
  <c r="I1788" i="2"/>
  <c r="L1788" i="2" s="1"/>
  <c r="Q1788" i="2" s="1"/>
  <c r="I1789" i="2"/>
  <c r="K1789" i="2" s="1"/>
  <c r="I1719" i="2"/>
  <c r="M1719" i="2" s="1"/>
  <c r="O15" i="39"/>
  <c r="O16" i="39"/>
  <c r="O17" i="39"/>
  <c r="O18" i="39"/>
  <c r="O19" i="39"/>
  <c r="O20" i="39"/>
  <c r="O21" i="39"/>
  <c r="O22" i="39"/>
  <c r="O23" i="39"/>
  <c r="O24" i="39"/>
  <c r="O25" i="39"/>
  <c r="O26" i="39"/>
  <c r="O27" i="39"/>
  <c r="O28" i="39"/>
  <c r="O29" i="39"/>
  <c r="O30" i="39"/>
  <c r="O31" i="39"/>
  <c r="O32" i="39"/>
  <c r="O33" i="39"/>
  <c r="O34" i="39"/>
  <c r="O35" i="39"/>
  <c r="O36" i="39"/>
  <c r="O37" i="39"/>
  <c r="O38" i="39"/>
  <c r="O39" i="39"/>
  <c r="O40" i="39"/>
  <c r="O41" i="39"/>
  <c r="O42" i="39"/>
  <c r="O43" i="39"/>
  <c r="O44" i="39"/>
  <c r="O45" i="39"/>
  <c r="O46" i="39"/>
  <c r="O47" i="39"/>
  <c r="O48" i="39"/>
  <c r="O49" i="39"/>
  <c r="O50" i="39"/>
  <c r="O51" i="39"/>
  <c r="O52" i="39"/>
  <c r="O53" i="39"/>
  <c r="O54" i="39"/>
  <c r="O55" i="39"/>
  <c r="O56" i="39"/>
  <c r="O57" i="39"/>
  <c r="O58" i="39"/>
  <c r="M120" i="2"/>
  <c r="M266" i="2"/>
  <c r="M320" i="2"/>
  <c r="M394" i="2"/>
  <c r="M514" i="2"/>
  <c r="M700" i="2"/>
  <c r="M709" i="2"/>
  <c r="M802" i="2"/>
  <c r="M1083" i="2"/>
  <c r="M1538" i="2"/>
  <c r="M1585" i="2"/>
  <c r="M1617" i="2"/>
  <c r="M1618" i="2"/>
  <c r="M1629" i="2"/>
  <c r="C16" i="40"/>
  <c r="C38" i="40"/>
  <c r="C35" i="40"/>
  <c r="C26" i="40"/>
  <c r="C21" i="40"/>
  <c r="C15" i="40"/>
  <c r="E158" i="35" l="1"/>
  <c r="G158" i="35" s="1"/>
  <c r="E124" i="35"/>
  <c r="G124" i="35" s="1"/>
  <c r="E116" i="35"/>
  <c r="G116" i="35" s="1"/>
  <c r="E86" i="35"/>
  <c r="G86" i="35" s="1"/>
  <c r="E99" i="35"/>
  <c r="G99" i="35" s="1"/>
  <c r="E81" i="35"/>
  <c r="G81" i="35" s="1"/>
  <c r="E76" i="35"/>
  <c r="G76" i="35" s="1"/>
  <c r="E71" i="35"/>
  <c r="G71" i="35" s="1"/>
  <c r="E29" i="35"/>
  <c r="G29" i="35" s="1"/>
  <c r="M1771" i="2"/>
  <c r="L1756" i="2"/>
  <c r="Q1756" i="2" s="1"/>
  <c r="M1731" i="2"/>
  <c r="L1741" i="2"/>
  <c r="Q1741" i="2" s="1"/>
  <c r="L1769" i="2"/>
  <c r="Q1769" i="2" s="1"/>
  <c r="M1787" i="2"/>
  <c r="M1747" i="2"/>
  <c r="L1723" i="2"/>
  <c r="Q1723" i="2" s="1"/>
  <c r="K1744" i="2"/>
  <c r="M1733" i="2"/>
  <c r="M1752" i="2"/>
  <c r="K1753" i="2"/>
  <c r="K1725" i="2"/>
  <c r="M1725" i="2"/>
  <c r="L1748" i="2"/>
  <c r="Q1748" i="2" s="1"/>
  <c r="M1757" i="2"/>
  <c r="K1769" i="2"/>
  <c r="K1724" i="2"/>
  <c r="L1780" i="2"/>
  <c r="Q1780" i="2" s="1"/>
  <c r="L1724" i="2"/>
  <c r="Q1724" i="2" s="1"/>
  <c r="L1761" i="2"/>
  <c r="Q1761" i="2" s="1"/>
  <c r="M1777" i="2"/>
  <c r="L1736" i="2"/>
  <c r="Q1736" i="2" s="1"/>
  <c r="M1753" i="2"/>
  <c r="M1740" i="2"/>
  <c r="L1760" i="2"/>
  <c r="Q1760" i="2" s="1"/>
  <c r="K1768" i="2"/>
  <c r="M1728" i="2"/>
  <c r="M1736" i="2"/>
  <c r="L1763" i="2"/>
  <c r="Q1763" i="2" s="1"/>
  <c r="L1768" i="2"/>
  <c r="Q1768" i="2" s="1"/>
  <c r="M1776" i="2"/>
  <c r="L1779" i="2"/>
  <c r="Q1779" i="2" s="1"/>
  <c r="M1784" i="2"/>
  <c r="M1744" i="2"/>
  <c r="K1784" i="2"/>
  <c r="L1732" i="2"/>
  <c r="Q1732" i="2" s="1"/>
  <c r="K1740" i="2"/>
  <c r="L1755" i="2"/>
  <c r="Q1755" i="2" s="1"/>
  <c r="M1761" i="2"/>
  <c r="K1788" i="2"/>
  <c r="M1722" i="2"/>
  <c r="M1732" i="2"/>
  <c r="L1733" i="2"/>
  <c r="Q1733" i="2" s="1"/>
  <c r="K1785" i="2"/>
  <c r="L1719" i="2"/>
  <c r="Q1719" i="2" s="1"/>
  <c r="K1781" i="2"/>
  <c r="L1764" i="2"/>
  <c r="Q1764" i="2" s="1"/>
  <c r="M1789" i="2"/>
  <c r="M1783" i="2"/>
  <c r="K1749" i="2"/>
  <c r="M1773" i="2"/>
  <c r="M1765" i="2"/>
  <c r="M1741" i="2"/>
  <c r="K1772" i="2"/>
  <c r="L1739" i="2"/>
  <c r="Q1739" i="2" s="1"/>
  <c r="M1720" i="2"/>
  <c r="L1775" i="2"/>
  <c r="Q1775" i="2" s="1"/>
  <c r="M1775" i="2"/>
  <c r="L1743" i="2"/>
  <c r="Q1743" i="2" s="1"/>
  <c r="K1751" i="2"/>
  <c r="M1727" i="2"/>
  <c r="L1751" i="2"/>
  <c r="Q1751" i="2" s="1"/>
  <c r="K1759" i="2"/>
  <c r="L1759" i="2"/>
  <c r="Q1759" i="2" s="1"/>
  <c r="K1767" i="2"/>
  <c r="M1735" i="2"/>
  <c r="L1767" i="2"/>
  <c r="Q1767" i="2" s="1"/>
  <c r="K1783" i="2"/>
  <c r="K1726" i="2"/>
  <c r="K1734" i="2"/>
  <c r="K1742" i="2"/>
  <c r="M1748" i="2"/>
  <c r="L1749" i="2"/>
  <c r="Q1749" i="2" s="1"/>
  <c r="K1750" i="2"/>
  <c r="M1756" i="2"/>
  <c r="L1757" i="2"/>
  <c r="Q1757" i="2" s="1"/>
  <c r="K1758" i="2"/>
  <c r="M1764" i="2"/>
  <c r="L1765" i="2"/>
  <c r="Q1765" i="2" s="1"/>
  <c r="K1766" i="2"/>
  <c r="M1772" i="2"/>
  <c r="L1773" i="2"/>
  <c r="Q1773" i="2" s="1"/>
  <c r="K1774" i="2"/>
  <c r="M1780" i="2"/>
  <c r="L1781" i="2"/>
  <c r="Q1781" i="2" s="1"/>
  <c r="K1782" i="2"/>
  <c r="M1788" i="2"/>
  <c r="L1789" i="2"/>
  <c r="Q1789" i="2" s="1"/>
  <c r="K1719" i="2"/>
  <c r="L1726" i="2"/>
  <c r="Q1726" i="2" s="1"/>
  <c r="K1727" i="2"/>
  <c r="L1734" i="2"/>
  <c r="Q1734" i="2" s="1"/>
  <c r="K1735" i="2"/>
  <c r="L1742" i="2"/>
  <c r="Q1742" i="2" s="1"/>
  <c r="K1743" i="2"/>
  <c r="L1750" i="2"/>
  <c r="Q1750" i="2" s="1"/>
  <c r="L1758" i="2"/>
  <c r="Q1758" i="2" s="1"/>
  <c r="L1766" i="2"/>
  <c r="Q1766" i="2" s="1"/>
  <c r="L1774" i="2"/>
  <c r="Q1774" i="2" s="1"/>
  <c r="L1782" i="2"/>
  <c r="Q1782" i="2" s="1"/>
  <c r="K1752" i="2"/>
  <c r="K1760" i="2"/>
  <c r="K1776" i="2"/>
  <c r="L1720" i="2"/>
  <c r="Q1720" i="2" s="1"/>
  <c r="K1721" i="2"/>
  <c r="L1728" i="2"/>
  <c r="Q1728" i="2" s="1"/>
  <c r="K1729" i="2"/>
  <c r="K1737" i="2"/>
  <c r="K1745" i="2"/>
  <c r="L1721" i="2"/>
  <c r="Q1721" i="2" s="1"/>
  <c r="L1729" i="2"/>
  <c r="Q1729" i="2" s="1"/>
  <c r="K1730" i="2"/>
  <c r="L1737" i="2"/>
  <c r="Q1737" i="2" s="1"/>
  <c r="K1738" i="2"/>
  <c r="L1745" i="2"/>
  <c r="Q1745" i="2" s="1"/>
  <c r="K1746" i="2"/>
  <c r="K1754" i="2"/>
  <c r="K1762" i="2"/>
  <c r="K1770" i="2"/>
  <c r="L1777" i="2"/>
  <c r="Q1777" i="2" s="1"/>
  <c r="K1778" i="2"/>
  <c r="L1785" i="2"/>
  <c r="Q1785" i="2" s="1"/>
  <c r="K1786" i="2"/>
  <c r="L1722" i="2"/>
  <c r="Q1722" i="2" s="1"/>
  <c r="K1723" i="2"/>
  <c r="L1730" i="2"/>
  <c r="Q1730" i="2" s="1"/>
  <c r="K1731" i="2"/>
  <c r="L1738" i="2"/>
  <c r="Q1738" i="2" s="1"/>
  <c r="K1739" i="2"/>
  <c r="L1746" i="2"/>
  <c r="Q1746" i="2" s="1"/>
  <c r="K1747" i="2"/>
  <c r="L1754" i="2"/>
  <c r="Q1754" i="2" s="1"/>
  <c r="K1755" i="2"/>
  <c r="L1762" i="2"/>
  <c r="Q1762" i="2" s="1"/>
  <c r="K1763" i="2"/>
  <c r="L1770" i="2"/>
  <c r="Q1770" i="2" s="1"/>
  <c r="K1771" i="2"/>
  <c r="L1778" i="2"/>
  <c r="Q1778" i="2" s="1"/>
  <c r="K1779" i="2"/>
  <c r="L1786" i="2"/>
  <c r="Q1786" i="2" s="1"/>
  <c r="K1787" i="2"/>
  <c r="F15" i="39"/>
  <c r="F16" i="39"/>
  <c r="F17" i="39"/>
  <c r="F18" i="39"/>
  <c r="F19" i="39"/>
  <c r="F20" i="39"/>
  <c r="F21" i="39"/>
  <c r="F22" i="39"/>
  <c r="F23" i="39"/>
  <c r="F24" i="39"/>
  <c r="F25" i="39"/>
  <c r="F26" i="39"/>
  <c r="F27" i="39"/>
  <c r="F28" i="39"/>
  <c r="F29" i="39"/>
  <c r="F30" i="39"/>
  <c r="F31" i="39"/>
  <c r="F32" i="39"/>
  <c r="F33" i="39"/>
  <c r="F34" i="39"/>
  <c r="F35" i="39"/>
  <c r="F36" i="39"/>
  <c r="F37" i="39"/>
  <c r="F38" i="39"/>
  <c r="F39" i="39"/>
  <c r="F40" i="39"/>
  <c r="F41" i="39"/>
  <c r="F42" i="39"/>
  <c r="F43" i="39"/>
  <c r="F44" i="39"/>
  <c r="F45" i="39"/>
  <c r="F46" i="39"/>
  <c r="F47" i="39"/>
  <c r="F48" i="39"/>
  <c r="F49" i="39"/>
  <c r="F50" i="39"/>
  <c r="F51" i="39"/>
  <c r="F52" i="39"/>
  <c r="F53" i="39"/>
  <c r="F54" i="39"/>
  <c r="F55" i="39"/>
  <c r="F56" i="39"/>
  <c r="F57" i="39"/>
  <c r="F58" i="39"/>
  <c r="I11" i="2"/>
  <c r="M11" i="2" s="1"/>
  <c r="I12" i="2"/>
  <c r="M12" i="2" s="1"/>
  <c r="I13" i="2"/>
  <c r="M13" i="2" s="1"/>
  <c r="I14" i="2"/>
  <c r="M14" i="2" s="1"/>
  <c r="I15" i="2"/>
  <c r="M15" i="2" s="1"/>
  <c r="I16" i="2"/>
  <c r="M16" i="2" s="1"/>
  <c r="I17" i="2"/>
  <c r="M17" i="2" s="1"/>
  <c r="I18" i="2"/>
  <c r="I19" i="2"/>
  <c r="M19" i="2" s="1"/>
  <c r="I20" i="2"/>
  <c r="I21" i="2"/>
  <c r="M21" i="2" s="1"/>
  <c r="I22" i="2"/>
  <c r="M22" i="2" s="1"/>
  <c r="I23" i="2"/>
  <c r="M23" i="2" s="1"/>
  <c r="I24" i="2"/>
  <c r="I25" i="2"/>
  <c r="I26" i="2"/>
  <c r="I27" i="2"/>
  <c r="M27" i="2" s="1"/>
  <c r="I28" i="2"/>
  <c r="M28" i="2" s="1"/>
  <c r="I29" i="2"/>
  <c r="I30" i="2"/>
  <c r="I31" i="2"/>
  <c r="I32" i="2"/>
  <c r="I33" i="2"/>
  <c r="I34" i="2"/>
  <c r="I35" i="2"/>
  <c r="M35" i="2" s="1"/>
  <c r="I36" i="2"/>
  <c r="M36" i="2" s="1"/>
  <c r="I37" i="2"/>
  <c r="I38" i="2"/>
  <c r="M38" i="2" s="1"/>
  <c r="I39" i="2"/>
  <c r="M39" i="2" s="1"/>
  <c r="I40" i="2"/>
  <c r="M40" i="2" s="1"/>
  <c r="I41" i="2"/>
  <c r="M41" i="2" s="1"/>
  <c r="I42" i="2"/>
  <c r="M42" i="2" s="1"/>
  <c r="I43" i="2"/>
  <c r="M43" i="2" s="1"/>
  <c r="I44" i="2"/>
  <c r="M44" i="2" s="1"/>
  <c r="I45" i="2"/>
  <c r="M45" i="2" s="1"/>
  <c r="I46" i="2"/>
  <c r="M46" i="2" s="1"/>
  <c r="I47" i="2"/>
  <c r="M47" i="2" s="1"/>
  <c r="I48" i="2"/>
  <c r="M48" i="2" s="1"/>
  <c r="I49" i="2"/>
  <c r="M49" i="2" s="1"/>
  <c r="I50" i="2"/>
  <c r="M50" i="2" s="1"/>
  <c r="I51" i="2"/>
  <c r="M51" i="2" s="1"/>
  <c r="I52" i="2"/>
  <c r="M52" i="2" s="1"/>
  <c r="I53" i="2"/>
  <c r="M53" i="2" s="1"/>
  <c r="I54" i="2"/>
  <c r="M54" i="2" s="1"/>
  <c r="I55" i="2"/>
  <c r="I56" i="2"/>
  <c r="M56" i="2" s="1"/>
  <c r="I57" i="2"/>
  <c r="I58" i="2"/>
  <c r="M58" i="2" s="1"/>
  <c r="I59" i="2"/>
  <c r="M59" i="2" s="1"/>
  <c r="I60" i="2"/>
  <c r="M60" i="2" s="1"/>
  <c r="I61" i="2"/>
  <c r="I62" i="2"/>
  <c r="I63" i="2"/>
  <c r="I64" i="2"/>
  <c r="I65" i="2"/>
  <c r="I66" i="2"/>
  <c r="I67" i="2"/>
  <c r="M67" i="2" s="1"/>
  <c r="I68" i="2"/>
  <c r="M68" i="2" s="1"/>
  <c r="I69" i="2"/>
  <c r="M69" i="2" s="1"/>
  <c r="I70" i="2"/>
  <c r="I71" i="2"/>
  <c r="M71" i="2" s="1"/>
  <c r="I72" i="2"/>
  <c r="M72" i="2" s="1"/>
  <c r="I73" i="2"/>
  <c r="M73" i="2" s="1"/>
  <c r="I74" i="2"/>
  <c r="M74" i="2" s="1"/>
  <c r="I75" i="2"/>
  <c r="M75" i="2" s="1"/>
  <c r="I76" i="2"/>
  <c r="M76" i="2" s="1"/>
  <c r="I77" i="2"/>
  <c r="M77" i="2" s="1"/>
  <c r="I78" i="2"/>
  <c r="M78" i="2" s="1"/>
  <c r="I79" i="2"/>
  <c r="M79" i="2" s="1"/>
  <c r="I80" i="2"/>
  <c r="M80" i="2" s="1"/>
  <c r="I81" i="2"/>
  <c r="M81" i="2" s="1"/>
  <c r="I82" i="2"/>
  <c r="M82" i="2" s="1"/>
  <c r="I83" i="2"/>
  <c r="I84" i="2"/>
  <c r="I85" i="2"/>
  <c r="M85" i="2" s="1"/>
  <c r="I86" i="2"/>
  <c r="M86" i="2" s="1"/>
  <c r="I87" i="2"/>
  <c r="I88" i="2"/>
  <c r="I89" i="2"/>
  <c r="I90" i="2"/>
  <c r="M90" i="2" s="1"/>
  <c r="I91" i="2"/>
  <c r="I92" i="2"/>
  <c r="I93" i="2"/>
  <c r="M93" i="2" s="1"/>
  <c r="I94" i="2"/>
  <c r="M94" i="2" s="1"/>
  <c r="I95" i="2"/>
  <c r="M95" i="2" s="1"/>
  <c r="I96" i="2"/>
  <c r="M96" i="2" s="1"/>
  <c r="I97" i="2"/>
  <c r="M97" i="2" s="1"/>
  <c r="I98" i="2"/>
  <c r="M98" i="2" s="1"/>
  <c r="I99" i="2"/>
  <c r="M99" i="2" s="1"/>
  <c r="I100" i="2"/>
  <c r="L100" i="2" s="1"/>
  <c r="Q100" i="2" s="1"/>
  <c r="I101" i="2"/>
  <c r="M101" i="2" s="1"/>
  <c r="I102" i="2"/>
  <c r="M102" i="2" s="1"/>
  <c r="I103" i="2"/>
  <c r="M103" i="2" s="1"/>
  <c r="I104" i="2"/>
  <c r="M104" i="2" s="1"/>
  <c r="I105" i="2"/>
  <c r="M105" i="2" s="1"/>
  <c r="I106" i="2"/>
  <c r="M106" i="2" s="1"/>
  <c r="I107" i="2"/>
  <c r="M107" i="2" s="1"/>
  <c r="I108" i="2"/>
  <c r="I109" i="2"/>
  <c r="M109" i="2" s="1"/>
  <c r="I110" i="2"/>
  <c r="M110" i="2" s="1"/>
  <c r="I111" i="2"/>
  <c r="I112" i="2"/>
  <c r="M112" i="2" s="1"/>
  <c r="I113" i="2"/>
  <c r="I114" i="2"/>
  <c r="M114" i="2" s="1"/>
  <c r="I115" i="2"/>
  <c r="I116" i="2"/>
  <c r="I117" i="2"/>
  <c r="I118" i="2"/>
  <c r="M118" i="2" s="1"/>
  <c r="I119" i="2"/>
  <c r="I120" i="2"/>
  <c r="I121" i="2"/>
  <c r="I122" i="2"/>
  <c r="I123" i="2"/>
  <c r="I124" i="2"/>
  <c r="I125" i="2"/>
  <c r="M125" i="2" s="1"/>
  <c r="I126" i="2"/>
  <c r="M126" i="2" s="1"/>
  <c r="I127" i="2"/>
  <c r="M127" i="2" s="1"/>
  <c r="I128" i="2"/>
  <c r="M128" i="2" s="1"/>
  <c r="I129" i="2"/>
  <c r="M129" i="2" s="1"/>
  <c r="I130" i="2"/>
  <c r="M130" i="2" s="1"/>
  <c r="I131" i="2"/>
  <c r="M131" i="2" s="1"/>
  <c r="I132" i="2"/>
  <c r="M132" i="2" s="1"/>
  <c r="I133" i="2"/>
  <c r="M133" i="2" s="1"/>
  <c r="I134" i="2"/>
  <c r="M134" i="2" s="1"/>
  <c r="I135" i="2"/>
  <c r="M135" i="2" s="1"/>
  <c r="I136" i="2"/>
  <c r="M136" i="2" s="1"/>
  <c r="I137" i="2"/>
  <c r="M137" i="2" s="1"/>
  <c r="I138" i="2"/>
  <c r="M138" i="2" s="1"/>
  <c r="I139" i="2"/>
  <c r="M139" i="2" s="1"/>
  <c r="I140" i="2"/>
  <c r="M140" i="2" s="1"/>
  <c r="I141" i="2"/>
  <c r="M141" i="2" s="1"/>
  <c r="I142" i="2"/>
  <c r="M142" i="2" s="1"/>
  <c r="I143" i="2"/>
  <c r="M143" i="2" s="1"/>
  <c r="I144" i="2"/>
  <c r="M144" i="2" s="1"/>
  <c r="I145" i="2"/>
  <c r="I146" i="2"/>
  <c r="M146" i="2" s="1"/>
  <c r="I147" i="2"/>
  <c r="I148" i="2"/>
  <c r="I149" i="2"/>
  <c r="M149" i="2" s="1"/>
  <c r="I150" i="2"/>
  <c r="M150" i="2" s="1"/>
  <c r="I151" i="2"/>
  <c r="M151" i="2" s="1"/>
  <c r="I152" i="2"/>
  <c r="M152" i="2" s="1"/>
  <c r="I153" i="2"/>
  <c r="M153" i="2" s="1"/>
  <c r="I154" i="2"/>
  <c r="M154" i="2" s="1"/>
  <c r="I155" i="2"/>
  <c r="M155" i="2" s="1"/>
  <c r="I156" i="2"/>
  <c r="I157" i="2"/>
  <c r="M157" i="2" s="1"/>
  <c r="I158" i="2"/>
  <c r="M158" i="2" s="1"/>
  <c r="I159" i="2"/>
  <c r="M159" i="2" s="1"/>
  <c r="I160" i="2"/>
  <c r="I161" i="2"/>
  <c r="M161" i="2" s="1"/>
  <c r="I162" i="2"/>
  <c r="M162" i="2" s="1"/>
  <c r="I163" i="2"/>
  <c r="M163" i="2" s="1"/>
  <c r="I164" i="2"/>
  <c r="M164" i="2" s="1"/>
  <c r="I165" i="2"/>
  <c r="M165" i="2" s="1"/>
  <c r="I166" i="2"/>
  <c r="M166" i="2" s="1"/>
  <c r="I167" i="2"/>
  <c r="M167" i="2" s="1"/>
  <c r="I168" i="2"/>
  <c r="M168" i="2" s="1"/>
  <c r="I169" i="2"/>
  <c r="M169" i="2" s="1"/>
  <c r="I170" i="2"/>
  <c r="I171" i="2"/>
  <c r="M171" i="2" s="1"/>
  <c r="I172" i="2"/>
  <c r="I173" i="2"/>
  <c r="M173" i="2" s="1"/>
  <c r="I174" i="2"/>
  <c r="M174" i="2" s="1"/>
  <c r="I175" i="2"/>
  <c r="M175" i="2" s="1"/>
  <c r="I176" i="2"/>
  <c r="M176" i="2" s="1"/>
  <c r="I177" i="2"/>
  <c r="M177" i="2" s="1"/>
  <c r="I178" i="2"/>
  <c r="M178" i="2" s="1"/>
  <c r="I179" i="2"/>
  <c r="I180" i="2"/>
  <c r="I181" i="2"/>
  <c r="M181" i="2" s="1"/>
  <c r="I182" i="2"/>
  <c r="K182" i="2" s="1"/>
  <c r="I183" i="2"/>
  <c r="I184" i="2"/>
  <c r="I185" i="2"/>
  <c r="I186" i="2"/>
  <c r="M186" i="2" s="1"/>
  <c r="I187" i="2"/>
  <c r="M187" i="2" s="1"/>
  <c r="I188" i="2"/>
  <c r="M188" i="2" s="1"/>
  <c r="I189" i="2"/>
  <c r="M189" i="2" s="1"/>
  <c r="I190" i="2"/>
  <c r="M190" i="2" s="1"/>
  <c r="I191" i="2"/>
  <c r="M191" i="2" s="1"/>
  <c r="I192" i="2"/>
  <c r="I193" i="2"/>
  <c r="M193" i="2" s="1"/>
  <c r="I194" i="2"/>
  <c r="M194" i="2" s="1"/>
  <c r="I195" i="2"/>
  <c r="I196" i="2"/>
  <c r="I197" i="2"/>
  <c r="M197" i="2" s="1"/>
  <c r="I198" i="2"/>
  <c r="M198" i="2" s="1"/>
  <c r="I199" i="2"/>
  <c r="M199" i="2" s="1"/>
  <c r="I200" i="2"/>
  <c r="M200" i="2" s="1"/>
  <c r="I201" i="2"/>
  <c r="M201" i="2" s="1"/>
  <c r="I202" i="2"/>
  <c r="M202" i="2" s="1"/>
  <c r="I203" i="2"/>
  <c r="M203" i="2" s="1"/>
  <c r="I204" i="2"/>
  <c r="I205" i="2"/>
  <c r="M205" i="2" s="1"/>
  <c r="I206" i="2"/>
  <c r="M206" i="2" s="1"/>
  <c r="I207" i="2"/>
  <c r="M207" i="2" s="1"/>
  <c r="I208" i="2"/>
  <c r="I209" i="2"/>
  <c r="I210" i="2"/>
  <c r="M210" i="2" s="1"/>
  <c r="I211" i="2"/>
  <c r="I212" i="2"/>
  <c r="I213" i="2"/>
  <c r="I214" i="2"/>
  <c r="M214" i="2" s="1"/>
  <c r="I215" i="2"/>
  <c r="I216" i="2"/>
  <c r="I217" i="2"/>
  <c r="I218" i="2"/>
  <c r="I219" i="2"/>
  <c r="I220" i="2"/>
  <c r="I221" i="2"/>
  <c r="M221" i="2" s="1"/>
  <c r="I222" i="2"/>
  <c r="M222" i="2" s="1"/>
  <c r="I223" i="2"/>
  <c r="M223" i="2" s="1"/>
  <c r="I224" i="2"/>
  <c r="I225" i="2"/>
  <c r="M225" i="2" s="1"/>
  <c r="I226" i="2"/>
  <c r="M226" i="2" s="1"/>
  <c r="I227" i="2"/>
  <c r="M227" i="2" s="1"/>
  <c r="I228" i="2"/>
  <c r="I229" i="2"/>
  <c r="M229" i="2" s="1"/>
  <c r="I230" i="2"/>
  <c r="M230" i="2" s="1"/>
  <c r="I231" i="2"/>
  <c r="M231" i="2" s="1"/>
  <c r="I232" i="2"/>
  <c r="M232" i="2" s="1"/>
  <c r="I233" i="2"/>
  <c r="I234" i="2"/>
  <c r="M234" i="2" s="1"/>
  <c r="I235" i="2"/>
  <c r="M235" i="2" s="1"/>
  <c r="I236" i="2"/>
  <c r="I237" i="2"/>
  <c r="M237" i="2" s="1"/>
  <c r="I238" i="2"/>
  <c r="I239" i="2"/>
  <c r="M239" i="2" s="1"/>
  <c r="I240" i="2"/>
  <c r="I241" i="2"/>
  <c r="I242" i="2"/>
  <c r="M242" i="2" s="1"/>
  <c r="I243" i="2"/>
  <c r="I244" i="2"/>
  <c r="I245" i="2"/>
  <c r="I246" i="2"/>
  <c r="I247" i="2"/>
  <c r="I248" i="2"/>
  <c r="I249" i="2"/>
  <c r="I250" i="2"/>
  <c r="I251" i="2"/>
  <c r="I252" i="2"/>
  <c r="I253" i="2"/>
  <c r="M253" i="2" s="1"/>
  <c r="I254" i="2"/>
  <c r="M254" i="2" s="1"/>
  <c r="I255" i="2"/>
  <c r="M255" i="2" s="1"/>
  <c r="I256" i="2"/>
  <c r="I257" i="2"/>
  <c r="M257" i="2" s="1"/>
  <c r="I258" i="2"/>
  <c r="M258" i="2" s="1"/>
  <c r="I259" i="2"/>
  <c r="M259" i="2" s="1"/>
  <c r="I260" i="2"/>
  <c r="M260" i="2" s="1"/>
  <c r="I261" i="2"/>
  <c r="M261" i="2" s="1"/>
  <c r="I262" i="2"/>
  <c r="M262" i="2" s="1"/>
  <c r="I263" i="2"/>
  <c r="M263" i="2" s="1"/>
  <c r="I264" i="2"/>
  <c r="M264" i="2" s="1"/>
  <c r="I265" i="2"/>
  <c r="M265" i="2" s="1"/>
  <c r="I266" i="2"/>
  <c r="I267" i="2"/>
  <c r="M267" i="2" s="1"/>
  <c r="I268" i="2"/>
  <c r="I269" i="2"/>
  <c r="M269" i="2" s="1"/>
  <c r="I270" i="2"/>
  <c r="M270" i="2" s="1"/>
  <c r="I271" i="2"/>
  <c r="M271" i="2" s="1"/>
  <c r="I272" i="2"/>
  <c r="M272" i="2" s="1"/>
  <c r="I273" i="2"/>
  <c r="I274" i="2"/>
  <c r="M274" i="2" s="1"/>
  <c r="I275" i="2"/>
  <c r="I276" i="2"/>
  <c r="I277" i="2"/>
  <c r="M277" i="2" s="1"/>
  <c r="I278" i="2"/>
  <c r="I279" i="2"/>
  <c r="I280" i="2"/>
  <c r="I281" i="2"/>
  <c r="I282" i="2"/>
  <c r="I283" i="2"/>
  <c r="I284" i="2"/>
  <c r="I285" i="2"/>
  <c r="M285" i="2" s="1"/>
  <c r="I286" i="2"/>
  <c r="M286" i="2" s="1"/>
  <c r="I287" i="2"/>
  <c r="M287" i="2" s="1"/>
  <c r="I288" i="2"/>
  <c r="I289" i="2"/>
  <c r="M289" i="2" s="1"/>
  <c r="I290" i="2"/>
  <c r="M290" i="2" s="1"/>
  <c r="I291" i="2"/>
  <c r="M291" i="2" s="1"/>
  <c r="I292" i="2"/>
  <c r="I293" i="2"/>
  <c r="M293" i="2" s="1"/>
  <c r="I294" i="2"/>
  <c r="M294" i="2" s="1"/>
  <c r="I295" i="2"/>
  <c r="M295" i="2" s="1"/>
  <c r="I296" i="2"/>
  <c r="M296" i="2" s="1"/>
  <c r="I297" i="2"/>
  <c r="M297" i="2" s="1"/>
  <c r="I298" i="2"/>
  <c r="M298" i="2" s="1"/>
  <c r="I299" i="2"/>
  <c r="M299" i="2" s="1"/>
  <c r="I300" i="2"/>
  <c r="M300" i="2" s="1"/>
  <c r="I301" i="2"/>
  <c r="I302" i="2"/>
  <c r="M302" i="2" s="1"/>
  <c r="I303" i="2"/>
  <c r="I304" i="2"/>
  <c r="I305" i="2"/>
  <c r="I306" i="2"/>
  <c r="M306" i="2" s="1"/>
  <c r="I307" i="2"/>
  <c r="I308" i="2"/>
  <c r="I309" i="2"/>
  <c r="I310" i="2"/>
  <c r="M310" i="2" s="1"/>
  <c r="I311" i="2"/>
  <c r="I312" i="2"/>
  <c r="I313" i="2"/>
  <c r="I314" i="2"/>
  <c r="I315" i="2"/>
  <c r="I316" i="2"/>
  <c r="I317" i="2"/>
  <c r="M317" i="2" s="1"/>
  <c r="I318" i="2"/>
  <c r="M318" i="2" s="1"/>
  <c r="I319" i="2"/>
  <c r="M319" i="2" s="1"/>
  <c r="I320" i="2"/>
  <c r="I321" i="2"/>
  <c r="M321" i="2" s="1"/>
  <c r="I322" i="2"/>
  <c r="M322" i="2" s="1"/>
  <c r="I323" i="2"/>
  <c r="M323" i="2" s="1"/>
  <c r="I324" i="2"/>
  <c r="I325" i="2"/>
  <c r="M325" i="2" s="1"/>
  <c r="I326" i="2"/>
  <c r="M326" i="2" s="1"/>
  <c r="I327" i="2"/>
  <c r="M327" i="2" s="1"/>
  <c r="I328" i="2"/>
  <c r="M328" i="2" s="1"/>
  <c r="I329" i="2"/>
  <c r="M329" i="2" s="1"/>
  <c r="I330" i="2"/>
  <c r="M330" i="2" s="1"/>
  <c r="I331" i="2"/>
  <c r="M331" i="2" s="1"/>
  <c r="I332" i="2"/>
  <c r="M332" i="2" s="1"/>
  <c r="I333" i="2"/>
  <c r="M333" i="2" s="1"/>
  <c r="I334" i="2"/>
  <c r="M334" i="2" s="1"/>
  <c r="I335" i="2"/>
  <c r="M335" i="2" s="1"/>
  <c r="I336" i="2"/>
  <c r="M336" i="2" s="1"/>
  <c r="I337" i="2"/>
  <c r="I338" i="2"/>
  <c r="M338" i="2" s="1"/>
  <c r="I339" i="2"/>
  <c r="I340" i="2"/>
  <c r="I341" i="2"/>
  <c r="M341" i="2" s="1"/>
  <c r="I342" i="2"/>
  <c r="M342" i="2" s="1"/>
  <c r="I343" i="2"/>
  <c r="I344" i="2"/>
  <c r="I345" i="2"/>
  <c r="I346" i="2"/>
  <c r="I347" i="2"/>
  <c r="I348" i="2"/>
  <c r="I349" i="2"/>
  <c r="M349" i="2" s="1"/>
  <c r="I350" i="2"/>
  <c r="M350" i="2" s="1"/>
  <c r="I351" i="2"/>
  <c r="M351" i="2" s="1"/>
  <c r="I352" i="2"/>
  <c r="M352" i="2" s="1"/>
  <c r="I353" i="2"/>
  <c r="M353" i="2" s="1"/>
  <c r="I354" i="2"/>
  <c r="M354" i="2" s="1"/>
  <c r="I355" i="2"/>
  <c r="M355" i="2" s="1"/>
  <c r="I356" i="2"/>
  <c r="I357" i="2"/>
  <c r="M357" i="2" s="1"/>
  <c r="I358" i="2"/>
  <c r="M358" i="2" s="1"/>
  <c r="I359" i="2"/>
  <c r="M359" i="2" s="1"/>
  <c r="I360" i="2"/>
  <c r="M360" i="2" s="1"/>
  <c r="I361" i="2"/>
  <c r="M361" i="2" s="1"/>
  <c r="I362" i="2"/>
  <c r="I363" i="2"/>
  <c r="I364" i="2"/>
  <c r="M364" i="2" s="1"/>
  <c r="I365" i="2"/>
  <c r="M365" i="2" s="1"/>
  <c r="I366" i="2"/>
  <c r="M366" i="2" s="1"/>
  <c r="I367" i="2"/>
  <c r="M367" i="2" s="1"/>
  <c r="I368" i="2"/>
  <c r="M368" i="2" s="1"/>
  <c r="I369" i="2"/>
  <c r="I370" i="2"/>
  <c r="I371" i="2"/>
  <c r="I372" i="2"/>
  <c r="I373" i="2"/>
  <c r="M373" i="2" s="1"/>
  <c r="I374" i="2"/>
  <c r="M374" i="2" s="1"/>
  <c r="I375" i="2"/>
  <c r="I376" i="2"/>
  <c r="I377" i="2"/>
  <c r="I378" i="2"/>
  <c r="I379" i="2"/>
  <c r="I380" i="2"/>
  <c r="I381" i="2"/>
  <c r="M381" i="2" s="1"/>
  <c r="I382" i="2"/>
  <c r="M382" i="2" s="1"/>
  <c r="I383" i="2"/>
  <c r="M383" i="2" s="1"/>
  <c r="I384" i="2"/>
  <c r="I385" i="2"/>
  <c r="M385" i="2" s="1"/>
  <c r="I386" i="2"/>
  <c r="M386" i="2" s="1"/>
  <c r="I387" i="2"/>
  <c r="M387" i="2" s="1"/>
  <c r="I388" i="2"/>
  <c r="M388" i="2" s="1"/>
  <c r="I389" i="2"/>
  <c r="M389" i="2" s="1"/>
  <c r="I390" i="2"/>
  <c r="M390" i="2" s="1"/>
  <c r="I391" i="2"/>
  <c r="M391" i="2" s="1"/>
  <c r="I392" i="2"/>
  <c r="M392" i="2" s="1"/>
  <c r="I393" i="2"/>
  <c r="M393" i="2" s="1"/>
  <c r="I394" i="2"/>
  <c r="I395" i="2"/>
  <c r="M395" i="2" s="1"/>
  <c r="I396" i="2"/>
  <c r="I397" i="2"/>
  <c r="I398" i="2"/>
  <c r="M398" i="2" s="1"/>
  <c r="I399" i="2"/>
  <c r="M399" i="2" s="1"/>
  <c r="I400" i="2"/>
  <c r="I401" i="2"/>
  <c r="M401" i="2" s="1"/>
  <c r="I402" i="2"/>
  <c r="M402" i="2" s="1"/>
  <c r="I403" i="2"/>
  <c r="I404" i="2"/>
  <c r="I405" i="2"/>
  <c r="M405" i="2" s="1"/>
  <c r="I406" i="2"/>
  <c r="I407" i="2"/>
  <c r="I408" i="2"/>
  <c r="I409" i="2"/>
  <c r="I410" i="2"/>
  <c r="I411" i="2"/>
  <c r="I412" i="2"/>
  <c r="I413" i="2"/>
  <c r="M413" i="2" s="1"/>
  <c r="I414" i="2"/>
  <c r="M414" i="2" s="1"/>
  <c r="I415" i="2"/>
  <c r="M415" i="2" s="1"/>
  <c r="I416" i="2"/>
  <c r="I417" i="2"/>
  <c r="M417" i="2" s="1"/>
  <c r="I418" i="2"/>
  <c r="M418" i="2" s="1"/>
  <c r="I419" i="2"/>
  <c r="M419" i="2" s="1"/>
  <c r="I420" i="2"/>
  <c r="M420" i="2" s="1"/>
  <c r="I421" i="2"/>
  <c r="M421" i="2" s="1"/>
  <c r="I422" i="2"/>
  <c r="M422" i="2" s="1"/>
  <c r="I423" i="2"/>
  <c r="M423" i="2" s="1"/>
  <c r="I424" i="2"/>
  <c r="M424" i="2" s="1"/>
  <c r="I425" i="2"/>
  <c r="M425" i="2" s="1"/>
  <c r="I426" i="2"/>
  <c r="I427" i="2"/>
  <c r="M427" i="2" s="1"/>
  <c r="I428" i="2"/>
  <c r="I429" i="2"/>
  <c r="M429" i="2" s="1"/>
  <c r="I430" i="2"/>
  <c r="M430" i="2" s="1"/>
  <c r="I431" i="2"/>
  <c r="M431" i="2" s="1"/>
  <c r="I432" i="2"/>
  <c r="I433" i="2"/>
  <c r="M433" i="2" s="1"/>
  <c r="I434" i="2"/>
  <c r="M434" i="2" s="1"/>
  <c r="I435" i="2"/>
  <c r="I436" i="2"/>
  <c r="I437" i="2"/>
  <c r="I438" i="2"/>
  <c r="M438" i="2" s="1"/>
  <c r="I439" i="2"/>
  <c r="I440" i="2"/>
  <c r="I441" i="2"/>
  <c r="I442" i="2"/>
  <c r="I443" i="2"/>
  <c r="I444" i="2"/>
  <c r="I445" i="2"/>
  <c r="M445" i="2" s="1"/>
  <c r="I446" i="2"/>
  <c r="M446" i="2" s="1"/>
  <c r="I447" i="2"/>
  <c r="I448" i="2"/>
  <c r="M448" i="2" s="1"/>
  <c r="I449" i="2"/>
  <c r="M449" i="2" s="1"/>
  <c r="I450" i="2"/>
  <c r="M450" i="2" s="1"/>
  <c r="I451" i="2"/>
  <c r="M451" i="2" s="1"/>
  <c r="I452" i="2"/>
  <c r="I453" i="2"/>
  <c r="M453" i="2" s="1"/>
  <c r="I454" i="2"/>
  <c r="M454" i="2" s="1"/>
  <c r="I455" i="2"/>
  <c r="M455" i="2" s="1"/>
  <c r="I456" i="2"/>
  <c r="M456" i="2" s="1"/>
  <c r="I457" i="2"/>
  <c r="M457" i="2" s="1"/>
  <c r="I458" i="2"/>
  <c r="I459" i="2"/>
  <c r="M459" i="2" s="1"/>
  <c r="I460" i="2"/>
  <c r="I461" i="2"/>
  <c r="M461" i="2" s="1"/>
  <c r="I462" i="2"/>
  <c r="I463" i="2"/>
  <c r="M463" i="2" s="1"/>
  <c r="I464" i="2"/>
  <c r="M464" i="2" s="1"/>
  <c r="I465" i="2"/>
  <c r="M465" i="2" s="1"/>
  <c r="I466" i="2"/>
  <c r="M466" i="2" s="1"/>
  <c r="I467" i="2"/>
  <c r="I468" i="2"/>
  <c r="I469" i="2"/>
  <c r="I470" i="2"/>
  <c r="I471" i="2"/>
  <c r="I472" i="2"/>
  <c r="I473" i="2"/>
  <c r="I474" i="2"/>
  <c r="I475" i="2"/>
  <c r="I476" i="2"/>
  <c r="I477" i="2"/>
  <c r="M477" i="2" s="1"/>
  <c r="I478" i="2"/>
  <c r="M478" i="2" s="1"/>
  <c r="I479" i="2"/>
  <c r="I480" i="2"/>
  <c r="I481" i="2"/>
  <c r="M481" i="2" s="1"/>
  <c r="I482" i="2"/>
  <c r="M482" i="2" s="1"/>
  <c r="I483" i="2"/>
  <c r="M483" i="2" s="1"/>
  <c r="I484" i="2"/>
  <c r="M484" i="2" s="1"/>
  <c r="I485" i="2"/>
  <c r="M485" i="2" s="1"/>
  <c r="I486" i="2"/>
  <c r="M486" i="2" s="1"/>
  <c r="I487" i="2"/>
  <c r="M487" i="2" s="1"/>
  <c r="I488" i="2"/>
  <c r="M488" i="2" s="1"/>
  <c r="I489" i="2"/>
  <c r="M489" i="2" s="1"/>
  <c r="I490" i="2"/>
  <c r="I491" i="2"/>
  <c r="I492" i="2"/>
  <c r="I493" i="2"/>
  <c r="M493" i="2" s="1"/>
  <c r="I494" i="2"/>
  <c r="M494" i="2" s="1"/>
  <c r="I495" i="2"/>
  <c r="I496" i="2"/>
  <c r="I497" i="2"/>
  <c r="M497" i="2" s="1"/>
  <c r="I498" i="2"/>
  <c r="M498" i="2" s="1"/>
  <c r="I499" i="2"/>
  <c r="M499" i="2" s="1"/>
  <c r="I500" i="2"/>
  <c r="M500" i="2" s="1"/>
  <c r="I501" i="2"/>
  <c r="I502" i="2"/>
  <c r="I503" i="2"/>
  <c r="I504" i="2"/>
  <c r="I505" i="2"/>
  <c r="I506" i="2"/>
  <c r="I507" i="2"/>
  <c r="I508" i="2"/>
  <c r="I509" i="2"/>
  <c r="M509" i="2" s="1"/>
  <c r="I510" i="2"/>
  <c r="M510" i="2" s="1"/>
  <c r="I511" i="2"/>
  <c r="M511" i="2" s="1"/>
  <c r="I512" i="2"/>
  <c r="I513" i="2"/>
  <c r="M513" i="2" s="1"/>
  <c r="I514" i="2"/>
  <c r="I515" i="2"/>
  <c r="M515" i="2" s="1"/>
  <c r="I516" i="2"/>
  <c r="I517" i="2"/>
  <c r="M517" i="2" s="1"/>
  <c r="I518" i="2"/>
  <c r="M518" i="2" s="1"/>
  <c r="I519" i="2"/>
  <c r="M519" i="2" s="1"/>
  <c r="I520" i="2"/>
  <c r="M520" i="2" s="1"/>
  <c r="I521" i="2"/>
  <c r="M521" i="2" s="1"/>
  <c r="I522" i="2"/>
  <c r="I523" i="2"/>
  <c r="M523" i="2" s="1"/>
  <c r="I524" i="2"/>
  <c r="I525" i="2"/>
  <c r="I526" i="2"/>
  <c r="M526" i="2" s="1"/>
  <c r="I527" i="2"/>
  <c r="M527" i="2" s="1"/>
  <c r="I528" i="2"/>
  <c r="M528" i="2" s="1"/>
  <c r="I529" i="2"/>
  <c r="I530" i="2"/>
  <c r="M530" i="2" s="1"/>
  <c r="I531" i="2"/>
  <c r="M531" i="2" s="1"/>
  <c r="I532" i="2"/>
  <c r="M532" i="2" s="1"/>
  <c r="I533" i="2"/>
  <c r="M533" i="2" s="1"/>
  <c r="I534" i="2"/>
  <c r="I535" i="2"/>
  <c r="I536" i="2"/>
  <c r="I537" i="2"/>
  <c r="I538" i="2"/>
  <c r="I539" i="2"/>
  <c r="I540" i="2"/>
  <c r="I541" i="2"/>
  <c r="M541" i="2" s="1"/>
  <c r="I542" i="2"/>
  <c r="M542" i="2" s="1"/>
  <c r="I543" i="2"/>
  <c r="I544" i="2"/>
  <c r="I545" i="2"/>
  <c r="M545" i="2" s="1"/>
  <c r="I546" i="2"/>
  <c r="M546" i="2" s="1"/>
  <c r="I547" i="2"/>
  <c r="M547" i="2" s="1"/>
  <c r="I548" i="2"/>
  <c r="I549" i="2"/>
  <c r="M549" i="2" s="1"/>
  <c r="I550" i="2"/>
  <c r="M550" i="2" s="1"/>
  <c r="I551" i="2"/>
  <c r="M551" i="2" s="1"/>
  <c r="I552" i="2"/>
  <c r="M552" i="2" s="1"/>
  <c r="I553" i="2"/>
  <c r="I554" i="2"/>
  <c r="I555" i="2"/>
  <c r="M555" i="2" s="1"/>
  <c r="I556" i="2"/>
  <c r="I557" i="2"/>
  <c r="I558" i="2"/>
  <c r="M558" i="2" s="1"/>
  <c r="I559" i="2"/>
  <c r="I560" i="2"/>
  <c r="I561" i="2"/>
  <c r="I562" i="2"/>
  <c r="M562" i="2" s="1"/>
  <c r="I563" i="2"/>
  <c r="I564" i="2"/>
  <c r="I565" i="2"/>
  <c r="I566" i="2"/>
  <c r="I567" i="2"/>
  <c r="I568" i="2"/>
  <c r="I569" i="2"/>
  <c r="I570" i="2"/>
  <c r="I571" i="2"/>
  <c r="I572" i="2"/>
  <c r="I573" i="2"/>
  <c r="M573" i="2" s="1"/>
  <c r="I574" i="2"/>
  <c r="M574" i="2" s="1"/>
  <c r="I575" i="2"/>
  <c r="I576" i="2"/>
  <c r="I577" i="2"/>
  <c r="I578" i="2"/>
  <c r="M578" i="2" s="1"/>
  <c r="I579" i="2"/>
  <c r="M579" i="2" s="1"/>
  <c r="I580" i="2"/>
  <c r="M580" i="2" s="1"/>
  <c r="I581" i="2"/>
  <c r="M581" i="2" s="1"/>
  <c r="I582" i="2"/>
  <c r="I583" i="2"/>
  <c r="M583" i="2" s="1"/>
  <c r="I584" i="2"/>
  <c r="M584" i="2" s="1"/>
  <c r="I585" i="2"/>
  <c r="M585" i="2" s="1"/>
  <c r="I586" i="2"/>
  <c r="I587" i="2"/>
  <c r="M587" i="2" s="1"/>
  <c r="I588" i="2"/>
  <c r="M588" i="2" s="1"/>
  <c r="I589" i="2"/>
  <c r="I590" i="2"/>
  <c r="I591" i="2"/>
  <c r="I592" i="2"/>
  <c r="M592" i="2" s="1"/>
  <c r="I593" i="2"/>
  <c r="I594" i="2"/>
  <c r="M594" i="2" s="1"/>
  <c r="I595" i="2"/>
  <c r="M595" i="2" s="1"/>
  <c r="I596" i="2"/>
  <c r="M596" i="2" s="1"/>
  <c r="I597" i="2"/>
  <c r="M597" i="2" s="1"/>
  <c r="I598" i="2"/>
  <c r="M598" i="2" s="1"/>
  <c r="I599" i="2"/>
  <c r="I600" i="2"/>
  <c r="I601" i="2"/>
  <c r="I602" i="2"/>
  <c r="I603" i="2"/>
  <c r="I604" i="2"/>
  <c r="I605" i="2"/>
  <c r="M605" i="2" s="1"/>
  <c r="I606" i="2"/>
  <c r="M606" i="2" s="1"/>
  <c r="I607" i="2"/>
  <c r="M607" i="2" s="1"/>
  <c r="I608" i="2"/>
  <c r="I609" i="2"/>
  <c r="M609" i="2" s="1"/>
  <c r="I610" i="2"/>
  <c r="M610" i="2" s="1"/>
  <c r="I611" i="2"/>
  <c r="M611" i="2" s="1"/>
  <c r="I612" i="2"/>
  <c r="I613" i="2"/>
  <c r="M613" i="2" s="1"/>
  <c r="I614" i="2"/>
  <c r="I615" i="2"/>
  <c r="M615" i="2" s="1"/>
  <c r="I616" i="2"/>
  <c r="I617" i="2"/>
  <c r="M617" i="2" s="1"/>
  <c r="I618" i="2"/>
  <c r="I619" i="2"/>
  <c r="I620" i="2"/>
  <c r="I621" i="2"/>
  <c r="M621" i="2" s="1"/>
  <c r="I622" i="2"/>
  <c r="I623" i="2"/>
  <c r="M623" i="2" s="1"/>
  <c r="I624" i="2"/>
  <c r="I625" i="2"/>
  <c r="I626" i="2"/>
  <c r="M626" i="2" s="1"/>
  <c r="I627" i="2"/>
  <c r="I628" i="2"/>
  <c r="M628" i="2" s="1"/>
  <c r="I629" i="2"/>
  <c r="M629" i="2" s="1"/>
  <c r="I630" i="2"/>
  <c r="M630" i="2" s="1"/>
  <c r="I631" i="2"/>
  <c r="M631" i="2" s="1"/>
  <c r="I632" i="2"/>
  <c r="I633" i="2"/>
  <c r="I634" i="2"/>
  <c r="I635" i="2"/>
  <c r="I636" i="2"/>
  <c r="I637" i="2"/>
  <c r="M637" i="2" s="1"/>
  <c r="I638" i="2"/>
  <c r="M638" i="2" s="1"/>
  <c r="I639" i="2"/>
  <c r="M639" i="2" s="1"/>
  <c r="I640" i="2"/>
  <c r="M640" i="2" s="1"/>
  <c r="I641" i="2"/>
  <c r="M641" i="2" s="1"/>
  <c r="I642" i="2"/>
  <c r="M642" i="2" s="1"/>
  <c r="I643" i="2"/>
  <c r="M643" i="2" s="1"/>
  <c r="I644" i="2"/>
  <c r="M644" i="2" s="1"/>
  <c r="I645" i="2"/>
  <c r="M645" i="2" s="1"/>
  <c r="I646" i="2"/>
  <c r="I647" i="2"/>
  <c r="M647" i="2" s="1"/>
  <c r="I648" i="2"/>
  <c r="M648" i="2" s="1"/>
  <c r="I649" i="2"/>
  <c r="M649" i="2" s="1"/>
  <c r="I650" i="2"/>
  <c r="I651" i="2"/>
  <c r="M651" i="2" s="1"/>
  <c r="I652" i="2"/>
  <c r="M652" i="2" s="1"/>
  <c r="I653" i="2"/>
  <c r="I654" i="2"/>
  <c r="M654" i="2" s="1"/>
  <c r="I655" i="2"/>
  <c r="M655" i="2" s="1"/>
  <c r="I656" i="2"/>
  <c r="I657" i="2"/>
  <c r="I658" i="2"/>
  <c r="M658" i="2" s="1"/>
  <c r="I659" i="2"/>
  <c r="I660" i="2"/>
  <c r="I661" i="2"/>
  <c r="I662" i="2"/>
  <c r="M662" i="2" s="1"/>
  <c r="I663" i="2"/>
  <c r="M663" i="2" s="1"/>
  <c r="I664" i="2"/>
  <c r="M664" i="2" s="1"/>
  <c r="I665" i="2"/>
  <c r="I666" i="2"/>
  <c r="I667" i="2"/>
  <c r="I668" i="2"/>
  <c r="I669" i="2"/>
  <c r="M669" i="2" s="1"/>
  <c r="I670" i="2"/>
  <c r="M670" i="2" s="1"/>
  <c r="I671" i="2"/>
  <c r="M671" i="2" s="1"/>
  <c r="I672" i="2"/>
  <c r="I673" i="2"/>
  <c r="M673" i="2" s="1"/>
  <c r="I674" i="2"/>
  <c r="M674" i="2" s="1"/>
  <c r="I675" i="2"/>
  <c r="M675" i="2" s="1"/>
  <c r="I676" i="2"/>
  <c r="I677" i="2"/>
  <c r="M677" i="2" s="1"/>
  <c r="I678" i="2"/>
  <c r="I679" i="2"/>
  <c r="M679" i="2" s="1"/>
  <c r="I680" i="2"/>
  <c r="M680" i="2" s="1"/>
  <c r="I681" i="2"/>
  <c r="M681" i="2" s="1"/>
  <c r="I682" i="2"/>
  <c r="I683" i="2"/>
  <c r="I684" i="2"/>
  <c r="I685" i="2"/>
  <c r="I686" i="2"/>
  <c r="M686" i="2" s="1"/>
  <c r="I687" i="2"/>
  <c r="M687" i="2" s="1"/>
  <c r="I688" i="2"/>
  <c r="I689" i="2"/>
  <c r="I690" i="2"/>
  <c r="M690" i="2" s="1"/>
  <c r="I691" i="2"/>
  <c r="I692" i="2"/>
  <c r="I693" i="2"/>
  <c r="I694" i="2"/>
  <c r="I695" i="2"/>
  <c r="K695" i="2" s="1"/>
  <c r="I696" i="2"/>
  <c r="I697" i="2"/>
  <c r="I698" i="2"/>
  <c r="I699" i="2"/>
  <c r="I700" i="2"/>
  <c r="I701" i="2"/>
  <c r="M701" i="2" s="1"/>
  <c r="I702" i="2"/>
  <c r="M702" i="2" s="1"/>
  <c r="I703" i="2"/>
  <c r="M703" i="2" s="1"/>
  <c r="I704" i="2"/>
  <c r="I705" i="2"/>
  <c r="M705" i="2" s="1"/>
  <c r="I706" i="2"/>
  <c r="M706" i="2" s="1"/>
  <c r="I707" i="2"/>
  <c r="M707" i="2" s="1"/>
  <c r="I708" i="2"/>
  <c r="I709" i="2"/>
  <c r="I710" i="2"/>
  <c r="I711" i="2"/>
  <c r="M711" i="2" s="1"/>
  <c r="I712" i="2"/>
  <c r="L712" i="2" s="1"/>
  <c r="I713" i="2"/>
  <c r="M713" i="2" s="1"/>
  <c r="I714" i="2"/>
  <c r="I715" i="2"/>
  <c r="M715" i="2" s="1"/>
  <c r="I716" i="2"/>
  <c r="I717" i="2"/>
  <c r="M717" i="2" s="1"/>
  <c r="I718" i="2"/>
  <c r="I719" i="2"/>
  <c r="I720" i="2"/>
  <c r="I721" i="2"/>
  <c r="I722" i="2"/>
  <c r="I723" i="2"/>
  <c r="I724" i="2"/>
  <c r="I725" i="2"/>
  <c r="I726" i="2"/>
  <c r="I727" i="2"/>
  <c r="I728" i="2"/>
  <c r="M728" i="2" s="1"/>
  <c r="I729" i="2"/>
  <c r="I730" i="2"/>
  <c r="I731" i="2"/>
  <c r="I732" i="2"/>
  <c r="I733" i="2"/>
  <c r="M733" i="2" s="1"/>
  <c r="I734" i="2"/>
  <c r="M734" i="2" s="1"/>
  <c r="I735" i="2"/>
  <c r="I736" i="2"/>
  <c r="I737" i="2"/>
  <c r="I738" i="2"/>
  <c r="I739" i="2"/>
  <c r="M739" i="2" s="1"/>
  <c r="I740" i="2"/>
  <c r="I741" i="2"/>
  <c r="M741" i="2" s="1"/>
  <c r="I742" i="2"/>
  <c r="I743" i="2"/>
  <c r="M743" i="2" s="1"/>
  <c r="I744" i="2"/>
  <c r="M744" i="2" s="1"/>
  <c r="I745" i="2"/>
  <c r="I746" i="2"/>
  <c r="I747" i="2"/>
  <c r="L747" i="2" s="1"/>
  <c r="Q747" i="2" s="1"/>
  <c r="I748" i="2"/>
  <c r="M748" i="2" s="1"/>
  <c r="I749" i="2"/>
  <c r="I750" i="2"/>
  <c r="I751" i="2"/>
  <c r="I752" i="2"/>
  <c r="I753" i="2"/>
  <c r="I754" i="2"/>
  <c r="M754" i="2" s="1"/>
  <c r="I755" i="2"/>
  <c r="I756" i="2"/>
  <c r="I757" i="2"/>
  <c r="I758" i="2"/>
  <c r="M758" i="2" s="1"/>
  <c r="I759" i="2"/>
  <c r="I760" i="2"/>
  <c r="I761" i="2"/>
  <c r="M761" i="2" s="1"/>
  <c r="I762" i="2"/>
  <c r="I763" i="2"/>
  <c r="M763" i="2" s="1"/>
  <c r="I764" i="2"/>
  <c r="I765" i="2"/>
  <c r="M765" i="2" s="1"/>
  <c r="I766" i="2"/>
  <c r="M766" i="2" s="1"/>
  <c r="I767" i="2"/>
  <c r="M767" i="2" s="1"/>
  <c r="I768" i="2"/>
  <c r="I769" i="2"/>
  <c r="M769" i="2" s="1"/>
  <c r="I770" i="2"/>
  <c r="M770" i="2" s="1"/>
  <c r="I771" i="2"/>
  <c r="M771" i="2" s="1"/>
  <c r="I772" i="2"/>
  <c r="I773" i="2"/>
  <c r="M773" i="2" s="1"/>
  <c r="I774" i="2"/>
  <c r="I775" i="2"/>
  <c r="M775" i="2" s="1"/>
  <c r="I776" i="2"/>
  <c r="I777" i="2"/>
  <c r="M777" i="2" s="1"/>
  <c r="I778" i="2"/>
  <c r="M778" i="2" s="1"/>
  <c r="I779" i="2"/>
  <c r="M779" i="2" s="1"/>
  <c r="I780" i="2"/>
  <c r="I781" i="2"/>
  <c r="I782" i="2"/>
  <c r="K782" i="2" s="1"/>
  <c r="I784" i="2"/>
  <c r="I785" i="2"/>
  <c r="I786" i="2"/>
  <c r="I787" i="2"/>
  <c r="I788" i="2"/>
  <c r="I789" i="2"/>
  <c r="M789" i="2" s="1"/>
  <c r="I790" i="2"/>
  <c r="I791" i="2"/>
  <c r="I792" i="2"/>
  <c r="I793" i="2"/>
  <c r="I794" i="2"/>
  <c r="I795" i="2"/>
  <c r="I796" i="2"/>
  <c r="I797" i="2"/>
  <c r="I798" i="2"/>
  <c r="M798" i="2" s="1"/>
  <c r="I799" i="2"/>
  <c r="I800" i="2"/>
  <c r="I801" i="2"/>
  <c r="M801" i="2" s="1"/>
  <c r="I802" i="2"/>
  <c r="I803" i="2"/>
  <c r="I804" i="2"/>
  <c r="M804" i="2" s="1"/>
  <c r="I805" i="2"/>
  <c r="M805" i="2" s="1"/>
  <c r="I806" i="2"/>
  <c r="I807" i="2"/>
  <c r="I808" i="2"/>
  <c r="M808" i="2" s="1"/>
  <c r="I809" i="2"/>
  <c r="I810" i="2"/>
  <c r="I811" i="2"/>
  <c r="I812" i="2"/>
  <c r="I813" i="2"/>
  <c r="I814" i="2"/>
  <c r="I815" i="2"/>
  <c r="I816" i="2"/>
  <c r="I817" i="2"/>
  <c r="I818" i="2"/>
  <c r="I819" i="2"/>
  <c r="I820" i="2"/>
  <c r="I821" i="2"/>
  <c r="I822" i="2"/>
  <c r="I823" i="2"/>
  <c r="I824" i="2"/>
  <c r="I825" i="2"/>
  <c r="I826" i="2"/>
  <c r="I827" i="2"/>
  <c r="M827" i="2" s="1"/>
  <c r="I828" i="2"/>
  <c r="I829" i="2"/>
  <c r="M829" i="2" s="1"/>
  <c r="I830" i="2"/>
  <c r="M830" i="2" s="1"/>
  <c r="I831" i="2"/>
  <c r="M831" i="2" s="1"/>
  <c r="I832" i="2"/>
  <c r="M832" i="2" s="1"/>
  <c r="I833" i="2"/>
  <c r="M833" i="2" s="1"/>
  <c r="I834" i="2"/>
  <c r="M834" i="2" s="1"/>
  <c r="I835" i="2"/>
  <c r="M835" i="2" s="1"/>
  <c r="I836" i="2"/>
  <c r="I837" i="2"/>
  <c r="M837" i="2" s="1"/>
  <c r="I838" i="2"/>
  <c r="I839" i="2"/>
  <c r="I840" i="2"/>
  <c r="M840" i="2" s="1"/>
  <c r="I841" i="2"/>
  <c r="M841" i="2" s="1"/>
  <c r="I842" i="2"/>
  <c r="M842" i="2" s="1"/>
  <c r="I843" i="2"/>
  <c r="I844" i="2"/>
  <c r="I845" i="2"/>
  <c r="I846" i="2"/>
  <c r="I848" i="2"/>
  <c r="I850" i="2"/>
  <c r="I851" i="2"/>
  <c r="I852" i="2"/>
  <c r="I853" i="2"/>
  <c r="I854" i="2"/>
  <c r="I855" i="2"/>
  <c r="I856" i="2"/>
  <c r="I857" i="2"/>
  <c r="I858" i="2"/>
  <c r="I859" i="2"/>
  <c r="I860" i="2"/>
  <c r="M860" i="2" s="1"/>
  <c r="I861" i="2"/>
  <c r="I862" i="2"/>
  <c r="M862" i="2" s="1"/>
  <c r="I863" i="2"/>
  <c r="M863" i="2" s="1"/>
  <c r="I864" i="2"/>
  <c r="M866" i="2"/>
  <c r="I867" i="2"/>
  <c r="I868" i="2"/>
  <c r="M869" i="2"/>
  <c r="I870" i="2"/>
  <c r="I871" i="2"/>
  <c r="M871" i="2" s="1"/>
  <c r="I872" i="2"/>
  <c r="I873" i="2"/>
  <c r="I874" i="2"/>
  <c r="I875" i="2"/>
  <c r="I876" i="2"/>
  <c r="I877" i="2"/>
  <c r="M877" i="2" s="1"/>
  <c r="I878" i="2"/>
  <c r="I879" i="2"/>
  <c r="M879" i="2" s="1"/>
  <c r="I880" i="2"/>
  <c r="I881" i="2"/>
  <c r="I882" i="2"/>
  <c r="I883" i="2"/>
  <c r="M911" i="2"/>
  <c r="M912" i="2"/>
  <c r="M913" i="2"/>
  <c r="I914" i="2"/>
  <c r="I915" i="2"/>
  <c r="I916" i="2"/>
  <c r="M916" i="2" s="1"/>
  <c r="I917" i="2"/>
  <c r="M917" i="2" s="1"/>
  <c r="I918" i="2"/>
  <c r="I919" i="2"/>
  <c r="M919" i="2" s="1"/>
  <c r="I920" i="2"/>
  <c r="I921" i="2"/>
  <c r="I922" i="2"/>
  <c r="I923" i="2"/>
  <c r="I926" i="2"/>
  <c r="I927" i="2"/>
  <c r="I928" i="2"/>
  <c r="I929" i="2"/>
  <c r="I930" i="2"/>
  <c r="I931" i="2"/>
  <c r="I933" i="2"/>
  <c r="I934" i="2"/>
  <c r="I938" i="2"/>
  <c r="I939" i="2"/>
  <c r="I940" i="2"/>
  <c r="I941" i="2"/>
  <c r="I942" i="2"/>
  <c r="M943" i="2"/>
  <c r="I944" i="2"/>
  <c r="M944" i="2" s="1"/>
  <c r="I945" i="2"/>
  <c r="L945" i="2" s="1"/>
  <c r="Q945" i="2" s="1"/>
  <c r="I946" i="2"/>
  <c r="I947" i="2"/>
  <c r="M947" i="2" s="1"/>
  <c r="I948" i="2"/>
  <c r="M948" i="2" s="1"/>
  <c r="M949" i="2"/>
  <c r="I950" i="2"/>
  <c r="I951" i="2"/>
  <c r="I952" i="2"/>
  <c r="I953" i="2"/>
  <c r="I954" i="2"/>
  <c r="M954" i="2" s="1"/>
  <c r="I955" i="2"/>
  <c r="I956" i="2"/>
  <c r="I957" i="2"/>
  <c r="I959" i="2"/>
  <c r="I960" i="2"/>
  <c r="I961" i="2"/>
  <c r="I962" i="2"/>
  <c r="I963" i="2"/>
  <c r="I964" i="2"/>
  <c r="I965" i="2"/>
  <c r="I966" i="2"/>
  <c r="I967" i="2"/>
  <c r="I968" i="2"/>
  <c r="I969" i="2"/>
  <c r="I970" i="2"/>
  <c r="I971" i="2"/>
  <c r="I972" i="2"/>
  <c r="I973" i="2"/>
  <c r="I974" i="2"/>
  <c r="I975" i="2"/>
  <c r="M975" i="2" s="1"/>
  <c r="I976" i="2"/>
  <c r="I977" i="2"/>
  <c r="I978" i="2"/>
  <c r="I979" i="2"/>
  <c r="I980" i="2"/>
  <c r="I981" i="2"/>
  <c r="I982" i="2"/>
  <c r="I983" i="2"/>
  <c r="I984" i="2"/>
  <c r="I985" i="2"/>
  <c r="I986" i="2"/>
  <c r="I987" i="2"/>
  <c r="M987" i="2" s="1"/>
  <c r="I988" i="2"/>
  <c r="I989" i="2"/>
  <c r="I990" i="2"/>
  <c r="I991" i="2"/>
  <c r="I992" i="2"/>
  <c r="I993" i="2"/>
  <c r="I994" i="2"/>
  <c r="I995" i="2"/>
  <c r="I996" i="2"/>
  <c r="I997" i="2"/>
  <c r="I998" i="2"/>
  <c r="I999" i="2"/>
  <c r="I1000" i="2"/>
  <c r="I1001" i="2"/>
  <c r="I1002" i="2"/>
  <c r="I1003" i="2"/>
  <c r="I1004" i="2"/>
  <c r="I1005" i="2"/>
  <c r="I1006" i="2"/>
  <c r="I1007" i="2"/>
  <c r="M1007" i="2" s="1"/>
  <c r="I1008" i="2"/>
  <c r="I1009" i="2"/>
  <c r="I1010" i="2"/>
  <c r="M1010" i="2" s="1"/>
  <c r="I1011" i="2"/>
  <c r="M1011" i="2" s="1"/>
  <c r="I1012" i="2"/>
  <c r="M1012" i="2" s="1"/>
  <c r="I1013" i="2"/>
  <c r="M1013" i="2" s="1"/>
  <c r="I1014" i="2"/>
  <c r="I1015" i="2"/>
  <c r="K1015" i="2" s="1"/>
  <c r="I1016" i="2"/>
  <c r="I1017" i="2"/>
  <c r="I1018" i="2"/>
  <c r="I1019" i="2"/>
  <c r="I1020" i="2"/>
  <c r="I1021" i="2"/>
  <c r="M1021" i="2" s="1"/>
  <c r="I1022" i="2"/>
  <c r="I1023" i="2"/>
  <c r="I1024" i="2"/>
  <c r="I1025" i="2"/>
  <c r="I1026" i="2"/>
  <c r="I1027" i="2"/>
  <c r="I1028" i="2"/>
  <c r="I1029" i="2"/>
  <c r="I1030" i="2"/>
  <c r="I1031" i="2"/>
  <c r="I1032" i="2"/>
  <c r="I1033" i="2"/>
  <c r="I1034" i="2"/>
  <c r="I1035" i="2"/>
  <c r="I1036" i="2"/>
  <c r="I1037" i="2"/>
  <c r="I1038" i="2"/>
  <c r="I1039" i="2"/>
  <c r="M1039" i="2" s="1"/>
  <c r="I1040" i="2"/>
  <c r="M1040" i="2" s="1"/>
  <c r="I1041" i="2"/>
  <c r="I1042" i="2"/>
  <c r="I1043" i="2"/>
  <c r="M1043" i="2" s="1"/>
  <c r="I1044" i="2"/>
  <c r="M1044" i="2" s="1"/>
  <c r="I1045" i="2"/>
  <c r="I1046" i="2"/>
  <c r="M1046" i="2" s="1"/>
  <c r="I1047" i="2"/>
  <c r="I1048" i="2"/>
  <c r="I1049" i="2"/>
  <c r="I1050" i="2"/>
  <c r="I1051" i="2"/>
  <c r="I1052" i="2"/>
  <c r="I1053" i="2"/>
  <c r="I1054" i="2"/>
  <c r="I1055" i="2"/>
  <c r="I1056" i="2"/>
  <c r="I1057" i="2"/>
  <c r="I1058" i="2"/>
  <c r="I1059" i="2"/>
  <c r="I1060" i="2"/>
  <c r="I1061" i="2"/>
  <c r="I1062" i="2"/>
  <c r="I1063" i="2"/>
  <c r="I1064" i="2"/>
  <c r="I1065" i="2"/>
  <c r="I1066" i="2"/>
  <c r="I1067" i="2"/>
  <c r="I1068" i="2"/>
  <c r="I1069" i="2"/>
  <c r="I1070" i="2"/>
  <c r="I1071" i="2"/>
  <c r="M1071" i="2" s="1"/>
  <c r="I1072" i="2"/>
  <c r="I1073" i="2"/>
  <c r="I1074" i="2"/>
  <c r="I1075" i="2"/>
  <c r="I1076" i="2"/>
  <c r="M1076" i="2" s="1"/>
  <c r="I1077" i="2"/>
  <c r="M1077" i="2" s="1"/>
  <c r="I1078" i="2"/>
  <c r="M1078" i="2" s="1"/>
  <c r="I1079" i="2"/>
  <c r="M1079" i="2" s="1"/>
  <c r="I1080" i="2"/>
  <c r="I1081" i="2"/>
  <c r="M1081" i="2" s="1"/>
  <c r="I1082" i="2"/>
  <c r="I1083" i="2"/>
  <c r="I1084" i="2"/>
  <c r="I1085" i="2"/>
  <c r="I1086" i="2"/>
  <c r="I1087" i="2"/>
  <c r="I1088" i="2"/>
  <c r="I1089" i="2"/>
  <c r="I1090" i="2"/>
  <c r="I1091" i="2"/>
  <c r="I1092" i="2"/>
  <c r="I1093" i="2"/>
  <c r="I1094" i="2"/>
  <c r="I1095" i="2"/>
  <c r="I1096" i="2"/>
  <c r="I1097" i="2"/>
  <c r="I1098" i="2"/>
  <c r="I1099" i="2"/>
  <c r="I1100" i="2"/>
  <c r="I1101" i="2"/>
  <c r="I1102" i="2"/>
  <c r="I1103" i="2"/>
  <c r="M1103" i="2" s="1"/>
  <c r="I1104" i="2"/>
  <c r="I1105" i="2"/>
  <c r="I1106" i="2"/>
  <c r="I1107" i="2"/>
  <c r="I1108" i="2"/>
  <c r="I1109" i="2"/>
  <c r="I1110" i="2"/>
  <c r="I1111" i="2"/>
  <c r="I1112" i="2"/>
  <c r="I1113" i="2"/>
  <c r="I1114" i="2"/>
  <c r="I1115" i="2"/>
  <c r="I1116" i="2"/>
  <c r="I1117" i="2"/>
  <c r="M1117" i="2" s="1"/>
  <c r="I1118" i="2"/>
  <c r="I1119" i="2"/>
  <c r="I1120" i="2"/>
  <c r="I1121" i="2"/>
  <c r="I1122" i="2"/>
  <c r="I1123" i="2"/>
  <c r="I1124" i="2"/>
  <c r="I1125" i="2"/>
  <c r="I1126" i="2"/>
  <c r="I1127" i="2"/>
  <c r="I1128" i="2"/>
  <c r="I1129" i="2"/>
  <c r="I1130" i="2"/>
  <c r="I1131" i="2"/>
  <c r="I1132" i="2"/>
  <c r="I1133" i="2"/>
  <c r="I1134" i="2"/>
  <c r="I1135" i="2"/>
  <c r="I1136" i="2"/>
  <c r="M1136" i="2" s="1"/>
  <c r="I1137" i="2"/>
  <c r="I1138" i="2"/>
  <c r="I1139" i="2"/>
  <c r="I1140" i="2"/>
  <c r="I1141" i="2"/>
  <c r="I1142" i="2"/>
  <c r="I1143" i="2"/>
  <c r="I1144" i="2"/>
  <c r="I1145" i="2"/>
  <c r="I1146" i="2"/>
  <c r="I1147" i="2"/>
  <c r="I1148" i="2"/>
  <c r="I1149" i="2"/>
  <c r="I1150" i="2"/>
  <c r="I1151" i="2"/>
  <c r="I1152" i="2"/>
  <c r="I1153" i="2"/>
  <c r="I1154" i="2"/>
  <c r="I1155" i="2"/>
  <c r="I1156" i="2"/>
  <c r="I1157" i="2"/>
  <c r="I1158" i="2"/>
  <c r="I1159" i="2"/>
  <c r="I1160" i="2"/>
  <c r="I1161" i="2"/>
  <c r="I1162" i="2"/>
  <c r="I1163" i="2"/>
  <c r="I1164" i="2"/>
  <c r="I1165" i="2"/>
  <c r="I1166" i="2"/>
  <c r="I1167" i="2"/>
  <c r="I1168" i="2"/>
  <c r="I1169" i="2"/>
  <c r="I1170" i="2"/>
  <c r="I1171" i="2"/>
  <c r="M1171" i="2" s="1"/>
  <c r="I1172" i="2"/>
  <c r="M1172" i="2" s="1"/>
  <c r="I1173" i="2"/>
  <c r="I1174" i="2"/>
  <c r="I1175" i="2"/>
  <c r="I1176" i="2"/>
  <c r="I1177" i="2"/>
  <c r="I1178" i="2"/>
  <c r="I1179" i="2"/>
  <c r="I1180" i="2"/>
  <c r="I1181" i="2"/>
  <c r="I1182" i="2"/>
  <c r="I1183" i="2"/>
  <c r="I1184" i="2"/>
  <c r="I1185" i="2"/>
  <c r="I1186" i="2"/>
  <c r="I1187" i="2"/>
  <c r="I1188" i="2"/>
  <c r="I1189" i="2"/>
  <c r="I1190" i="2"/>
  <c r="I1191" i="2"/>
  <c r="I1192" i="2"/>
  <c r="I1193" i="2"/>
  <c r="I1194" i="2"/>
  <c r="I1195" i="2"/>
  <c r="I1196" i="2"/>
  <c r="I1197" i="2"/>
  <c r="I1198" i="2"/>
  <c r="I1199" i="2"/>
  <c r="I1200" i="2"/>
  <c r="I1201" i="2"/>
  <c r="I1202" i="2"/>
  <c r="I1203" i="2"/>
  <c r="I1204" i="2"/>
  <c r="M1204" i="2" s="1"/>
  <c r="I1205" i="2"/>
  <c r="I1206" i="2"/>
  <c r="M1206" i="2" s="1"/>
  <c r="I1207" i="2"/>
  <c r="I1208" i="2"/>
  <c r="I1209" i="2"/>
  <c r="I1210" i="2"/>
  <c r="I1211" i="2"/>
  <c r="I1212" i="2"/>
  <c r="I1213" i="2"/>
  <c r="I1214" i="2"/>
  <c r="I1215" i="2"/>
  <c r="I1216" i="2"/>
  <c r="I1217" i="2"/>
  <c r="I1218" i="2"/>
  <c r="I1219" i="2"/>
  <c r="I1220" i="2"/>
  <c r="I1221" i="2"/>
  <c r="I1222" i="2"/>
  <c r="I1223" i="2"/>
  <c r="I1224" i="2"/>
  <c r="I1225" i="2"/>
  <c r="I1226" i="2"/>
  <c r="I1227" i="2"/>
  <c r="I1228" i="2"/>
  <c r="I1229" i="2"/>
  <c r="I1230" i="2"/>
  <c r="I1231" i="2"/>
  <c r="I1232" i="2"/>
  <c r="I1233" i="2"/>
  <c r="I1234" i="2"/>
  <c r="I1235" i="2"/>
  <c r="I1236" i="2"/>
  <c r="M1236" i="2" s="1"/>
  <c r="I1237" i="2"/>
  <c r="I1238" i="2"/>
  <c r="M1238" i="2" s="1"/>
  <c r="I1239" i="2"/>
  <c r="I1240" i="2"/>
  <c r="I1241" i="2"/>
  <c r="I1242" i="2"/>
  <c r="I1243" i="2"/>
  <c r="I1244" i="2"/>
  <c r="I1245" i="2"/>
  <c r="I1246" i="2"/>
  <c r="I1247" i="2"/>
  <c r="I1248" i="2"/>
  <c r="I1249" i="2"/>
  <c r="I1250" i="2"/>
  <c r="I1251" i="2"/>
  <c r="I1252" i="2"/>
  <c r="I1253" i="2"/>
  <c r="I1254" i="2"/>
  <c r="I1255" i="2"/>
  <c r="I1256" i="2"/>
  <c r="I1257" i="2"/>
  <c r="I1258" i="2"/>
  <c r="I1259" i="2"/>
  <c r="I1260" i="2"/>
  <c r="I1261" i="2"/>
  <c r="I1262" i="2"/>
  <c r="I1263" i="2"/>
  <c r="I1264" i="2"/>
  <c r="I1265" i="2"/>
  <c r="I1266" i="2"/>
  <c r="I1267" i="2"/>
  <c r="I1268" i="2"/>
  <c r="I1269" i="2"/>
  <c r="I1270" i="2"/>
  <c r="M1270" i="2" s="1"/>
  <c r="I1271" i="2"/>
  <c r="I1272" i="2"/>
  <c r="I1273" i="2"/>
  <c r="I1274" i="2"/>
  <c r="I1275" i="2"/>
  <c r="I1276" i="2"/>
  <c r="I1277" i="2"/>
  <c r="I1278" i="2"/>
  <c r="I1279" i="2"/>
  <c r="I1280" i="2"/>
  <c r="I1281" i="2"/>
  <c r="I1282" i="2"/>
  <c r="I1283" i="2"/>
  <c r="I1284" i="2"/>
  <c r="I1285" i="2"/>
  <c r="I1286" i="2"/>
  <c r="I1287" i="2"/>
  <c r="I1288" i="2"/>
  <c r="I1289" i="2"/>
  <c r="I1290" i="2"/>
  <c r="I1291" i="2"/>
  <c r="I1292" i="2"/>
  <c r="I1293" i="2"/>
  <c r="I1294" i="2"/>
  <c r="I1295" i="2"/>
  <c r="M1295" i="2" s="1"/>
  <c r="I1296" i="2"/>
  <c r="M1296" i="2" s="1"/>
  <c r="I1297" i="2"/>
  <c r="I1298" i="2"/>
  <c r="I1299" i="2"/>
  <c r="I1300" i="2"/>
  <c r="I1301" i="2"/>
  <c r="I1302" i="2"/>
  <c r="I1303" i="2"/>
  <c r="I1304" i="2"/>
  <c r="I1305" i="2"/>
  <c r="I1306" i="2"/>
  <c r="I1307" i="2"/>
  <c r="I1308" i="2"/>
  <c r="I1309" i="2"/>
  <c r="I1310" i="2"/>
  <c r="I1311" i="2"/>
  <c r="I1312" i="2"/>
  <c r="I1313" i="2"/>
  <c r="I1314" i="2"/>
  <c r="I1315" i="2"/>
  <c r="I1316" i="2"/>
  <c r="I1317" i="2"/>
  <c r="I1318" i="2"/>
  <c r="I1319" i="2"/>
  <c r="I1320" i="2"/>
  <c r="I1321" i="2"/>
  <c r="I1322" i="2"/>
  <c r="I1323" i="2"/>
  <c r="I1324" i="2"/>
  <c r="I1325" i="2"/>
  <c r="I1326" i="2"/>
  <c r="I1327" i="2"/>
  <c r="I1356" i="2"/>
  <c r="I1357" i="2"/>
  <c r="I1358" i="2"/>
  <c r="I1359" i="2"/>
  <c r="I1360" i="2"/>
  <c r="I1361" i="2"/>
  <c r="I1362" i="2"/>
  <c r="I1363" i="2"/>
  <c r="I1364" i="2"/>
  <c r="I1365" i="2"/>
  <c r="I1366" i="2"/>
  <c r="I1367" i="2"/>
  <c r="I1368" i="2"/>
  <c r="I1369" i="2"/>
  <c r="I1370" i="2"/>
  <c r="I1371" i="2"/>
  <c r="I1372" i="2"/>
  <c r="I1373" i="2"/>
  <c r="I1374" i="2"/>
  <c r="I1375" i="2"/>
  <c r="I1376" i="2"/>
  <c r="I1377" i="2"/>
  <c r="I1378" i="2"/>
  <c r="I1379" i="2"/>
  <c r="I1380" i="2"/>
  <c r="I1381" i="2"/>
  <c r="I1382" i="2"/>
  <c r="I1383" i="2"/>
  <c r="I1384" i="2"/>
  <c r="I1385" i="2"/>
  <c r="I1386" i="2"/>
  <c r="I1387" i="2"/>
  <c r="I1388" i="2"/>
  <c r="I1389" i="2"/>
  <c r="I1390" i="2"/>
  <c r="I1391" i="2"/>
  <c r="M1391" i="2" s="1"/>
  <c r="I1392" i="2"/>
  <c r="I1393" i="2"/>
  <c r="M1393" i="2" s="1"/>
  <c r="I1394" i="2"/>
  <c r="I1395" i="2"/>
  <c r="I1396" i="2"/>
  <c r="I1397" i="2"/>
  <c r="I1398" i="2"/>
  <c r="I1399" i="2"/>
  <c r="I1400" i="2"/>
  <c r="I1401" i="2"/>
  <c r="I1402" i="2"/>
  <c r="I1403" i="2"/>
  <c r="I1404" i="2"/>
  <c r="I1405" i="2"/>
  <c r="I1406" i="2"/>
  <c r="I1407" i="2"/>
  <c r="I1408" i="2"/>
  <c r="I1409" i="2"/>
  <c r="I1410" i="2"/>
  <c r="I1411" i="2"/>
  <c r="I1412" i="2"/>
  <c r="I1413" i="2"/>
  <c r="I1414" i="2"/>
  <c r="I1415" i="2"/>
  <c r="I1416" i="2"/>
  <c r="I1417" i="2"/>
  <c r="I1418" i="2"/>
  <c r="I1419" i="2"/>
  <c r="I1420" i="2"/>
  <c r="I1421" i="2"/>
  <c r="I1422" i="2"/>
  <c r="I1423" i="2"/>
  <c r="M1423" i="2" s="1"/>
  <c r="I1424" i="2"/>
  <c r="I1425" i="2"/>
  <c r="I1426" i="2"/>
  <c r="I1427" i="2"/>
  <c r="I1428" i="2"/>
  <c r="I1429" i="2"/>
  <c r="I1430" i="2"/>
  <c r="I1431" i="2"/>
  <c r="I1432" i="2"/>
  <c r="I1433" i="2"/>
  <c r="I1434" i="2"/>
  <c r="I1435" i="2"/>
  <c r="I1436" i="2"/>
  <c r="I1437" i="2"/>
  <c r="I1438" i="2"/>
  <c r="I1439" i="2"/>
  <c r="I1440" i="2"/>
  <c r="I1441" i="2"/>
  <c r="I1442" i="2"/>
  <c r="I1443" i="2"/>
  <c r="I1444" i="2"/>
  <c r="I1445" i="2"/>
  <c r="I1446" i="2"/>
  <c r="I1447" i="2"/>
  <c r="I1448" i="2"/>
  <c r="I1449" i="2"/>
  <c r="I1450" i="2"/>
  <c r="K1450" i="2" s="1"/>
  <c r="I1451" i="2"/>
  <c r="I1452" i="2"/>
  <c r="I1453" i="2"/>
  <c r="I1454" i="2"/>
  <c r="I1455" i="2"/>
  <c r="M1455" i="2" s="1"/>
  <c r="I1456" i="2"/>
  <c r="I1457" i="2"/>
  <c r="I1458" i="2"/>
  <c r="I1459" i="2"/>
  <c r="I1460" i="2"/>
  <c r="I1461" i="2"/>
  <c r="I1462" i="2"/>
  <c r="I1463" i="2"/>
  <c r="I1464" i="2"/>
  <c r="I1465" i="2"/>
  <c r="I1466" i="2"/>
  <c r="I1467" i="2"/>
  <c r="I1468" i="2"/>
  <c r="I1469" i="2"/>
  <c r="I1470" i="2"/>
  <c r="I1471" i="2"/>
  <c r="I1472" i="2"/>
  <c r="I1473" i="2"/>
  <c r="I1474" i="2"/>
  <c r="I1475" i="2"/>
  <c r="I1476" i="2"/>
  <c r="I1477" i="2"/>
  <c r="I1478" i="2"/>
  <c r="I1479" i="2"/>
  <c r="I1480" i="2"/>
  <c r="I1481" i="2"/>
  <c r="I1482" i="2"/>
  <c r="K1482" i="2" s="1"/>
  <c r="I1483" i="2"/>
  <c r="I1484" i="2"/>
  <c r="I1485" i="2"/>
  <c r="I1486" i="2"/>
  <c r="I1487" i="2"/>
  <c r="I1488" i="2"/>
  <c r="I1489" i="2"/>
  <c r="I1490" i="2"/>
  <c r="I1491" i="2"/>
  <c r="I1492" i="2"/>
  <c r="I1493" i="2"/>
  <c r="I1494" i="2"/>
  <c r="I1495" i="2"/>
  <c r="I1496" i="2"/>
  <c r="I1497" i="2"/>
  <c r="I1498" i="2"/>
  <c r="I1499" i="2"/>
  <c r="I1500" i="2"/>
  <c r="I1501" i="2"/>
  <c r="I1502" i="2"/>
  <c r="I1503" i="2"/>
  <c r="I1504" i="2"/>
  <c r="I1505" i="2"/>
  <c r="I1506" i="2"/>
  <c r="I1507" i="2"/>
  <c r="I1508" i="2"/>
  <c r="I1509" i="2"/>
  <c r="I1510" i="2"/>
  <c r="I1511" i="2"/>
  <c r="I1512" i="2"/>
  <c r="I1513" i="2"/>
  <c r="I1514" i="2"/>
  <c r="I1515" i="2"/>
  <c r="M1515" i="2" s="1"/>
  <c r="I1516" i="2"/>
  <c r="I1517" i="2"/>
  <c r="I1518" i="2"/>
  <c r="I1519" i="2"/>
  <c r="I1520" i="2"/>
  <c r="I1521" i="2"/>
  <c r="I1522" i="2"/>
  <c r="I1523" i="2"/>
  <c r="I1524" i="2"/>
  <c r="I1525" i="2"/>
  <c r="I1526" i="2"/>
  <c r="I1527" i="2"/>
  <c r="I1528" i="2"/>
  <c r="I1529" i="2"/>
  <c r="I1530" i="2"/>
  <c r="I1531" i="2"/>
  <c r="I1532" i="2"/>
  <c r="I1533" i="2"/>
  <c r="I1534" i="2"/>
  <c r="I1535" i="2"/>
  <c r="I1536" i="2"/>
  <c r="I1537" i="2"/>
  <c r="I1538" i="2"/>
  <c r="I1539" i="2"/>
  <c r="I1540" i="2"/>
  <c r="I1541" i="2"/>
  <c r="I1542" i="2"/>
  <c r="I1543" i="2"/>
  <c r="I1544" i="2"/>
  <c r="I1545" i="2"/>
  <c r="I1546" i="2"/>
  <c r="M1546" i="2" s="1"/>
  <c r="I1547" i="2"/>
  <c r="I1548" i="2"/>
  <c r="I1549" i="2"/>
  <c r="I1550" i="2"/>
  <c r="I1551" i="2"/>
  <c r="I1552" i="2"/>
  <c r="I1553" i="2"/>
  <c r="I1554" i="2"/>
  <c r="I1555" i="2"/>
  <c r="I1556" i="2"/>
  <c r="I1557" i="2"/>
  <c r="I1558" i="2"/>
  <c r="I1559" i="2"/>
  <c r="I1560" i="2"/>
  <c r="I1561" i="2"/>
  <c r="I1562" i="2"/>
  <c r="I1563" i="2"/>
  <c r="I1564" i="2"/>
  <c r="I1565" i="2"/>
  <c r="I1566" i="2"/>
  <c r="I1567" i="2"/>
  <c r="I1568" i="2"/>
  <c r="I1569" i="2"/>
  <c r="I1570" i="2"/>
  <c r="I1571" i="2"/>
  <c r="I1572" i="2"/>
  <c r="I1573" i="2"/>
  <c r="I1574" i="2"/>
  <c r="I1575" i="2"/>
  <c r="I1576" i="2"/>
  <c r="I1577" i="2"/>
  <c r="I1578" i="2"/>
  <c r="M1578" i="2" s="1"/>
  <c r="I1579" i="2"/>
  <c r="I1580" i="2"/>
  <c r="I1581" i="2"/>
  <c r="I1582" i="2"/>
  <c r="I1583" i="2"/>
  <c r="I1584" i="2"/>
  <c r="I1585" i="2"/>
  <c r="I1586" i="2"/>
  <c r="I1587" i="2"/>
  <c r="I1588" i="2"/>
  <c r="I1589" i="2"/>
  <c r="I1590" i="2"/>
  <c r="I1591" i="2"/>
  <c r="I1592" i="2"/>
  <c r="I1593" i="2"/>
  <c r="I1594" i="2"/>
  <c r="I1595" i="2"/>
  <c r="I1596" i="2"/>
  <c r="I1597" i="2"/>
  <c r="I1598" i="2"/>
  <c r="I1599" i="2"/>
  <c r="I1600" i="2"/>
  <c r="I1601" i="2"/>
  <c r="I1602" i="2"/>
  <c r="I1603" i="2"/>
  <c r="I1604" i="2"/>
  <c r="I1605" i="2"/>
  <c r="I1606" i="2"/>
  <c r="I1607" i="2"/>
  <c r="I1608" i="2"/>
  <c r="I1609" i="2"/>
  <c r="I1610" i="2"/>
  <c r="I1611" i="2"/>
  <c r="I1612" i="2"/>
  <c r="I1613" i="2"/>
  <c r="I1614" i="2"/>
  <c r="I1615" i="2"/>
  <c r="I1616" i="2"/>
  <c r="I1617" i="2"/>
  <c r="I1618" i="2"/>
  <c r="I1619" i="2"/>
  <c r="I1620" i="2"/>
  <c r="I1621" i="2"/>
  <c r="I1622" i="2"/>
  <c r="I1623" i="2"/>
  <c r="I1624" i="2"/>
  <c r="I1625" i="2"/>
  <c r="I1626" i="2"/>
  <c r="I1627" i="2"/>
  <c r="I1628" i="2"/>
  <c r="I1629" i="2"/>
  <c r="I1630" i="2"/>
  <c r="I1631" i="2"/>
  <c r="I1632" i="2"/>
  <c r="I1633" i="2"/>
  <c r="I1634" i="2"/>
  <c r="I1635" i="2"/>
  <c r="I1636" i="2"/>
  <c r="I1637" i="2"/>
  <c r="I1638" i="2"/>
  <c r="I1639" i="2"/>
  <c r="I1640" i="2"/>
  <c r="I1641" i="2"/>
  <c r="I1642" i="2"/>
  <c r="I1643" i="2"/>
  <c r="I1644" i="2"/>
  <c r="I1645" i="2"/>
  <c r="I1646" i="2"/>
  <c r="I1647" i="2"/>
  <c r="I1648" i="2"/>
  <c r="I1649" i="2"/>
  <c r="I1650" i="2"/>
  <c r="I1651" i="2"/>
  <c r="I1652" i="2"/>
  <c r="I1653" i="2"/>
  <c r="I1654" i="2"/>
  <c r="I1655" i="2"/>
  <c r="I1656" i="2"/>
  <c r="I1657" i="2"/>
  <c r="I1658" i="2"/>
  <c r="I1659" i="2"/>
  <c r="I1660" i="2"/>
  <c r="I1661" i="2"/>
  <c r="I1662" i="2"/>
  <c r="I1663" i="2"/>
  <c r="I1664" i="2"/>
  <c r="I1665" i="2"/>
  <c r="I1666" i="2"/>
  <c r="I1667" i="2"/>
  <c r="I1668" i="2"/>
  <c r="I1669" i="2"/>
  <c r="I1670" i="2"/>
  <c r="I1671" i="2"/>
  <c r="I1672" i="2"/>
  <c r="I1673" i="2"/>
  <c r="I1674" i="2"/>
  <c r="I1675" i="2"/>
  <c r="I1676" i="2"/>
  <c r="I1677" i="2"/>
  <c r="I1678" i="2"/>
  <c r="I1679" i="2"/>
  <c r="I1680" i="2"/>
  <c r="I1681" i="2"/>
  <c r="I1682" i="2"/>
  <c r="I1683" i="2"/>
  <c r="I1684" i="2"/>
  <c r="I1685" i="2"/>
  <c r="I1686" i="2"/>
  <c r="I1687" i="2"/>
  <c r="I1688" i="2"/>
  <c r="I1689" i="2"/>
  <c r="I1690" i="2"/>
  <c r="I1691" i="2"/>
  <c r="I1692" i="2"/>
  <c r="I1693" i="2"/>
  <c r="I1694" i="2"/>
  <c r="I1695" i="2"/>
  <c r="I1696" i="2"/>
  <c r="I1697" i="2"/>
  <c r="I1698" i="2"/>
  <c r="I1699" i="2"/>
  <c r="I1700" i="2"/>
  <c r="I1701" i="2"/>
  <c r="I1702" i="2"/>
  <c r="I1703" i="2"/>
  <c r="I1704" i="2"/>
  <c r="I1705" i="2"/>
  <c r="I1706" i="2"/>
  <c r="I1707" i="2"/>
  <c r="I1708" i="2"/>
  <c r="I1709" i="2"/>
  <c r="I1710" i="2"/>
  <c r="I1711" i="2"/>
  <c r="I1712" i="2"/>
  <c r="I1713" i="2"/>
  <c r="I1714" i="2"/>
  <c r="I1715" i="2"/>
  <c r="I1716" i="2"/>
  <c r="I1717" i="2"/>
  <c r="I1718" i="2"/>
  <c r="I10" i="2"/>
  <c r="C40" i="40"/>
  <c r="K120" i="2"/>
  <c r="K266" i="2"/>
  <c r="K320" i="2"/>
  <c r="K394" i="2"/>
  <c r="K514" i="2"/>
  <c r="K700" i="2"/>
  <c r="K709" i="2"/>
  <c r="K802" i="2"/>
  <c r="K1083" i="2"/>
  <c r="K1538" i="2"/>
  <c r="K1585" i="2"/>
  <c r="K1617" i="2"/>
  <c r="K1618" i="2"/>
  <c r="K1629" i="2"/>
  <c r="L120" i="2"/>
  <c r="Q120" i="2" s="1"/>
  <c r="L181" i="2"/>
  <c r="Q181" i="2" s="1"/>
  <c r="L266" i="2"/>
  <c r="Q266" i="2" s="1"/>
  <c r="L320" i="2"/>
  <c r="Q320" i="2" s="1"/>
  <c r="L394" i="2"/>
  <c r="Q394" i="2" s="1"/>
  <c r="L514" i="2"/>
  <c r="Q514" i="2" s="1"/>
  <c r="L700" i="2"/>
  <c r="Q700" i="2" s="1"/>
  <c r="L709" i="2"/>
  <c r="Q709" i="2" s="1"/>
  <c r="L802" i="2"/>
  <c r="Q802" i="2" s="1"/>
  <c r="L1083" i="2"/>
  <c r="Q1083" i="2" s="1"/>
  <c r="L1538" i="2"/>
  <c r="Q1538" i="2" s="1"/>
  <c r="L1585" i="2"/>
  <c r="Q1585" i="2" s="1"/>
  <c r="L1617" i="2"/>
  <c r="Q1617" i="2" s="1"/>
  <c r="L1618" i="2"/>
  <c r="Q1618" i="2" s="1"/>
  <c r="L1629" i="2"/>
  <c r="Q1629" i="2" s="1"/>
  <c r="K149" i="2"/>
  <c r="L157" i="2"/>
  <c r="Q157" i="2" s="1"/>
  <c r="L221" i="2"/>
  <c r="Q221" i="2" s="1"/>
  <c r="L341" i="2"/>
  <c r="Q341" i="2" s="1"/>
  <c r="K360" i="2"/>
  <c r="L381" i="2"/>
  <c r="Q381" i="2" s="1"/>
  <c r="C11" i="40"/>
  <c r="C12" i="40"/>
  <c r="C13" i="40"/>
  <c r="C14" i="40"/>
  <c r="C17" i="40"/>
  <c r="C18" i="40"/>
  <c r="C19" i="40"/>
  <c r="C20" i="40"/>
  <c r="C22" i="40"/>
  <c r="C23" i="40"/>
  <c r="C24" i="40"/>
  <c r="C25" i="40"/>
  <c r="C27" i="40"/>
  <c r="C28" i="40"/>
  <c r="C29" i="40"/>
  <c r="C30" i="40"/>
  <c r="C31" i="40"/>
  <c r="C32" i="40"/>
  <c r="C33" i="40"/>
  <c r="C34" i="40"/>
  <c r="C36" i="40"/>
  <c r="C37" i="40"/>
  <c r="C39" i="40"/>
  <c r="C10" i="40"/>
  <c r="A4" i="40"/>
  <c r="A5" i="40"/>
  <c r="A6" i="40"/>
  <c r="A7" i="40"/>
  <c r="B6" i="40"/>
  <c r="B5" i="40"/>
  <c r="B4" i="40"/>
  <c r="B3" i="40"/>
  <c r="A3" i="40"/>
  <c r="K373" i="2" l="1"/>
  <c r="K93" i="2"/>
  <c r="K253" i="2"/>
  <c r="L373" i="2"/>
  <c r="Q373" i="2" s="1"/>
  <c r="L277" i="2"/>
  <c r="Q277" i="2" s="1"/>
  <c r="K349" i="2"/>
  <c r="K181" i="2"/>
  <c r="K477" i="2"/>
  <c r="K277" i="2"/>
  <c r="K317" i="2"/>
  <c r="O317" i="2" s="1"/>
  <c r="K285" i="2"/>
  <c r="K137" i="2"/>
  <c r="K393" i="2"/>
  <c r="L598" i="2"/>
  <c r="Q598" i="2" s="1"/>
  <c r="K67" i="2"/>
  <c r="L67" i="2"/>
  <c r="Q67" i="2" s="1"/>
  <c r="K59" i="2"/>
  <c r="K35" i="2"/>
  <c r="K357" i="2"/>
  <c r="L293" i="2"/>
  <c r="Q293" i="2" s="1"/>
  <c r="L261" i="2"/>
  <c r="Q261" i="2" s="1"/>
  <c r="L325" i="2"/>
  <c r="Q325" i="2" s="1"/>
  <c r="K165" i="2"/>
  <c r="K101" i="2"/>
  <c r="K43" i="2"/>
  <c r="K293" i="2"/>
  <c r="K11" i="2"/>
  <c r="K75" i="2"/>
  <c r="K453" i="2"/>
  <c r="K733" i="2"/>
  <c r="L517" i="2"/>
  <c r="Q517" i="2" s="1"/>
  <c r="K677" i="2"/>
  <c r="K421" i="2"/>
  <c r="K389" i="2"/>
  <c r="L837" i="2"/>
  <c r="Q837" i="2" s="1"/>
  <c r="L829" i="2"/>
  <c r="Q829" i="2" s="1"/>
  <c r="K302" i="2"/>
  <c r="K166" i="2"/>
  <c r="L28" i="2"/>
  <c r="Q28" i="2" s="1"/>
  <c r="K478" i="2"/>
  <c r="K350" i="2"/>
  <c r="L118" i="2"/>
  <c r="K574" i="2"/>
  <c r="L222" i="2"/>
  <c r="Q222" i="2" s="1"/>
  <c r="K110" i="2"/>
  <c r="L798" i="2"/>
  <c r="Q798" i="2" s="1"/>
  <c r="K558" i="2"/>
  <c r="K382" i="2"/>
  <c r="L342" i="2"/>
  <c r="Q342" i="2" s="1"/>
  <c r="K286" i="2"/>
  <c r="L158" i="2"/>
  <c r="Q158" i="2" s="1"/>
  <c r="K36" i="2"/>
  <c r="K542" i="2"/>
  <c r="K446" i="2"/>
  <c r="K214" i="2"/>
  <c r="K414" i="2"/>
  <c r="K526" i="2"/>
  <c r="K438" i="2"/>
  <c r="L374" i="2"/>
  <c r="Q374" i="2" s="1"/>
  <c r="K206" i="2"/>
  <c r="K28" i="2"/>
  <c r="K430" i="2"/>
  <c r="K318" i="2"/>
  <c r="O318" i="2" s="1"/>
  <c r="K270" i="2"/>
  <c r="L190" i="2"/>
  <c r="Q190" i="2" s="1"/>
  <c r="K142" i="2"/>
  <c r="K638" i="2"/>
  <c r="K510" i="2"/>
  <c r="O510" i="2" s="1"/>
  <c r="K68" i="2"/>
  <c r="K1039" i="2"/>
  <c r="K606" i="2"/>
  <c r="K494" i="2"/>
  <c r="L414" i="2"/>
  <c r="Q414" i="2" s="1"/>
  <c r="K310" i="2"/>
  <c r="K254" i="2"/>
  <c r="K174" i="2"/>
  <c r="O174" i="2" s="1"/>
  <c r="K126" i="2"/>
  <c r="L638" i="2"/>
  <c r="Q638" i="2" s="1"/>
  <c r="L518" i="2"/>
  <c r="Q518" i="2" s="1"/>
  <c r="K134" i="2"/>
  <c r="K461" i="2"/>
  <c r="K454" i="2"/>
  <c r="K102" i="2"/>
  <c r="K237" i="2"/>
  <c r="K76" i="2"/>
  <c r="K422" i="2"/>
  <c r="L262" i="2"/>
  <c r="Q262" i="2" s="1"/>
  <c r="K230" i="2"/>
  <c r="L975" i="2"/>
  <c r="Q975" i="2" s="1"/>
  <c r="K44" i="2"/>
  <c r="L198" i="2"/>
  <c r="Q198" i="2" s="1"/>
  <c r="K390" i="2"/>
  <c r="K109" i="2"/>
  <c r="K205" i="2"/>
  <c r="O205" i="2" s="1"/>
  <c r="K486" i="2"/>
  <c r="K198" i="2"/>
  <c r="K717" i="2"/>
  <c r="K613" i="2"/>
  <c r="K358" i="2"/>
  <c r="O358" i="2" s="1"/>
  <c r="K173" i="2"/>
  <c r="K550" i="2"/>
  <c r="L326" i="2"/>
  <c r="Q326" i="2" s="1"/>
  <c r="K141" i="2"/>
  <c r="K420" i="2"/>
  <c r="K588" i="2"/>
  <c r="K82" i="2"/>
  <c r="K1007" i="2"/>
  <c r="K701" i="2"/>
  <c r="K605" i="2"/>
  <c r="O605" i="2" s="1"/>
  <c r="K549" i="2"/>
  <c r="L509" i="2"/>
  <c r="Q509" i="2" s="1"/>
  <c r="L1295" i="2"/>
  <c r="Q1295" i="2" s="1"/>
  <c r="K943" i="2"/>
  <c r="K789" i="2"/>
  <c r="K669" i="2"/>
  <c r="K541" i="2"/>
  <c r="K493" i="2"/>
  <c r="O493" i="2" s="1"/>
  <c r="K413" i="2"/>
  <c r="O413" i="2" s="1"/>
  <c r="K509" i="2"/>
  <c r="K1103" i="2"/>
  <c r="K919" i="2"/>
  <c r="K773" i="2"/>
  <c r="L645" i="2"/>
  <c r="Q645" i="2" s="1"/>
  <c r="K581" i="2"/>
  <c r="K533" i="2"/>
  <c r="K445" i="2"/>
  <c r="K1079" i="2"/>
  <c r="K877" i="2"/>
  <c r="K765" i="2"/>
  <c r="O765" i="2" s="1"/>
  <c r="K485" i="2"/>
  <c r="L405" i="2"/>
  <c r="Q405" i="2" s="1"/>
  <c r="K1071" i="2"/>
  <c r="K869" i="2"/>
  <c r="L741" i="2"/>
  <c r="Q741" i="2" s="1"/>
  <c r="K637" i="2"/>
  <c r="K573" i="2"/>
  <c r="K837" i="2"/>
  <c r="K649" i="2"/>
  <c r="L1515" i="2"/>
  <c r="Q1515" i="2" s="1"/>
  <c r="K702" i="2"/>
  <c r="K1136" i="2"/>
  <c r="L830" i="2"/>
  <c r="Q830" i="2" s="1"/>
  <c r="K766" i="2"/>
  <c r="O766" i="2" s="1"/>
  <c r="K686" i="2"/>
  <c r="L944" i="2"/>
  <c r="Q944" i="2" s="1"/>
  <c r="K670" i="2"/>
  <c r="K734" i="2"/>
  <c r="K1040" i="2"/>
  <c r="K912" i="2"/>
  <c r="K131" i="2"/>
  <c r="L644" i="2"/>
  <c r="L164" i="2"/>
  <c r="Q164" i="2" s="1"/>
  <c r="K804" i="2"/>
  <c r="K580" i="2"/>
  <c r="K748" i="2"/>
  <c r="K484" i="2"/>
  <c r="K178" i="2"/>
  <c r="K652" i="2"/>
  <c r="K388" i="2"/>
  <c r="K210" i="2"/>
  <c r="K140" i="2"/>
  <c r="K703" i="2"/>
  <c r="K879" i="2"/>
  <c r="K359" i="2"/>
  <c r="K521" i="2"/>
  <c r="K489" i="2"/>
  <c r="K457" i="2"/>
  <c r="K425" i="2"/>
  <c r="K361" i="2"/>
  <c r="O361" i="2" s="1"/>
  <c r="L161" i="2"/>
  <c r="Q161" i="2" s="1"/>
  <c r="L97" i="2"/>
  <c r="Q97" i="2" s="1"/>
  <c r="K329" i="2"/>
  <c r="K177" i="2"/>
  <c r="O177" i="2" s="1"/>
  <c r="K841" i="2"/>
  <c r="K673" i="2"/>
  <c r="K585" i="2"/>
  <c r="K545" i="2"/>
  <c r="K513" i="2"/>
  <c r="K449" i="2"/>
  <c r="K385" i="2"/>
  <c r="K289" i="2"/>
  <c r="K47" i="2"/>
  <c r="K617" i="2"/>
  <c r="K481" i="2"/>
  <c r="K417" i="2"/>
  <c r="K353" i="2"/>
  <c r="L321" i="2"/>
  <c r="Q321" i="2" s="1"/>
  <c r="K201" i="2"/>
  <c r="K79" i="2"/>
  <c r="L449" i="2"/>
  <c r="Q449" i="2" s="1"/>
  <c r="K769" i="2"/>
  <c r="K609" i="2"/>
  <c r="L225" i="2"/>
  <c r="Q225" i="2" s="1"/>
  <c r="K105" i="2"/>
  <c r="K607" i="2"/>
  <c r="K743" i="2"/>
  <c r="K463" i="2"/>
  <c r="L487" i="2"/>
  <c r="Q487" i="2" s="1"/>
  <c r="K487" i="2"/>
  <c r="K775" i="2"/>
  <c r="K423" i="2"/>
  <c r="K715" i="2"/>
  <c r="K242" i="2"/>
  <c r="L610" i="2"/>
  <c r="Q610" i="2" s="1"/>
  <c r="K338" i="2"/>
  <c r="K306" i="2"/>
  <c r="K80" i="2"/>
  <c r="L418" i="2"/>
  <c r="Q418" i="2" s="1"/>
  <c r="K162" i="2"/>
  <c r="K138" i="2"/>
  <c r="L434" i="2"/>
  <c r="K842" i="2"/>
  <c r="L642" i="2"/>
  <c r="Q642" i="2" s="1"/>
  <c r="K274" i="2"/>
  <c r="O274" i="2" s="1"/>
  <c r="K234" i="2"/>
  <c r="K106" i="2"/>
  <c r="K48" i="2"/>
  <c r="L48" i="2"/>
  <c r="Q48" i="2" s="1"/>
  <c r="L834" i="2"/>
  <c r="Q834" i="2" s="1"/>
  <c r="K424" i="2"/>
  <c r="L226" i="2"/>
  <c r="K202" i="2"/>
  <c r="L523" i="2"/>
  <c r="Q523" i="2" s="1"/>
  <c r="K744" i="2"/>
  <c r="L658" i="2"/>
  <c r="Q658" i="2" s="1"/>
  <c r="K626" i="2"/>
  <c r="L562" i="2"/>
  <c r="Q562" i="2" s="1"/>
  <c r="K395" i="2"/>
  <c r="L323" i="2"/>
  <c r="Q323" i="2" s="1"/>
  <c r="K146" i="2"/>
  <c r="K778" i="2"/>
  <c r="K594" i="2"/>
  <c r="L322" i="2"/>
  <c r="Q322" i="2" s="1"/>
  <c r="L98" i="2"/>
  <c r="Q98" i="2" s="1"/>
  <c r="K690" i="2"/>
  <c r="K488" i="2"/>
  <c r="L466" i="2"/>
  <c r="Q466" i="2" s="1"/>
  <c r="K112" i="2"/>
  <c r="L528" i="2"/>
  <c r="Q528" i="2" s="1"/>
  <c r="K78" i="2"/>
  <c r="K1081" i="2"/>
  <c r="O1081" i="2" s="1"/>
  <c r="K954" i="2"/>
  <c r="K871" i="2"/>
  <c r="K832" i="2"/>
  <c r="K671" i="2"/>
  <c r="K647" i="2"/>
  <c r="K583" i="2"/>
  <c r="K551" i="2"/>
  <c r="K527" i="2"/>
  <c r="K511" i="2"/>
  <c r="K383" i="2"/>
  <c r="K272" i="2"/>
  <c r="K239" i="2"/>
  <c r="L223" i="2"/>
  <c r="Q223" i="2" s="1"/>
  <c r="K176" i="2"/>
  <c r="K144" i="2"/>
  <c r="K135" i="2"/>
  <c r="K77" i="2"/>
  <c r="K22" i="2"/>
  <c r="K648" i="2"/>
  <c r="K584" i="2"/>
  <c r="K831" i="2"/>
  <c r="K623" i="2"/>
  <c r="K175" i="2"/>
  <c r="K143" i="2"/>
  <c r="K95" i="2"/>
  <c r="K46" i="2"/>
  <c r="K552" i="2"/>
  <c r="K448" i="2"/>
  <c r="K136" i="2"/>
  <c r="K863" i="2"/>
  <c r="K767" i="2"/>
  <c r="K687" i="2"/>
  <c r="K456" i="2"/>
  <c r="K392" i="2"/>
  <c r="K336" i="2"/>
  <c r="K199" i="2"/>
  <c r="K45" i="2"/>
  <c r="K615" i="2"/>
  <c r="O615" i="2" s="1"/>
  <c r="K520" i="2"/>
  <c r="O520" i="2" s="1"/>
  <c r="K455" i="2"/>
  <c r="K391" i="2"/>
  <c r="K352" i="2"/>
  <c r="O352" i="2" s="1"/>
  <c r="L319" i="2"/>
  <c r="Q319" i="2" s="1"/>
  <c r="K287" i="2"/>
  <c r="K232" i="2"/>
  <c r="L159" i="2"/>
  <c r="Q159" i="2" s="1"/>
  <c r="K127" i="2"/>
  <c r="K104" i="2"/>
  <c r="K69" i="2"/>
  <c r="K808" i="2"/>
  <c r="K680" i="2"/>
  <c r="K655" i="2"/>
  <c r="L640" i="2"/>
  <c r="Q640" i="2" s="1"/>
  <c r="K592" i="2"/>
  <c r="K519" i="2"/>
  <c r="K351" i="2"/>
  <c r="O351" i="2" s="1"/>
  <c r="K328" i="2"/>
  <c r="K255" i="2"/>
  <c r="K231" i="2"/>
  <c r="K168" i="2"/>
  <c r="O168" i="2" s="1"/>
  <c r="K103" i="2"/>
  <c r="L328" i="2"/>
  <c r="Q328" i="2" s="1"/>
  <c r="K840" i="2"/>
  <c r="K711" i="2"/>
  <c r="K679" i="2"/>
  <c r="L639" i="2"/>
  <c r="K415" i="2"/>
  <c r="K327" i="2"/>
  <c r="K207" i="2"/>
  <c r="K167" i="2"/>
  <c r="O167" i="2" s="1"/>
  <c r="K987" i="2"/>
  <c r="K713" i="2"/>
  <c r="O713" i="2" s="1"/>
  <c r="K947" i="2"/>
  <c r="K833" i="2"/>
  <c r="K777" i="2"/>
  <c r="K681" i="2"/>
  <c r="K705" i="2"/>
  <c r="L641" i="2"/>
  <c r="Q641" i="2" s="1"/>
  <c r="K611" i="2"/>
  <c r="O611" i="2" s="1"/>
  <c r="K579" i="2"/>
  <c r="K515" i="2"/>
  <c r="K917" i="2"/>
  <c r="K419" i="2"/>
  <c r="K267" i="2"/>
  <c r="K203" i="2"/>
  <c r="K139" i="2"/>
  <c r="K1077" i="2"/>
  <c r="L771" i="2"/>
  <c r="Q771" i="2" s="1"/>
  <c r="K707" i="2"/>
  <c r="K587" i="2"/>
  <c r="K547" i="2"/>
  <c r="K523" i="2"/>
  <c r="K451" i="2"/>
  <c r="K427" i="2"/>
  <c r="K949" i="2"/>
  <c r="K739" i="2"/>
  <c r="K73" i="2"/>
  <c r="K835" i="2"/>
  <c r="L643" i="2"/>
  <c r="Q643" i="2" s="1"/>
  <c r="K459" i="2"/>
  <c r="O459" i="2" s="1"/>
  <c r="L163" i="2"/>
  <c r="Q163" i="2" s="1"/>
  <c r="K81" i="2"/>
  <c r="K779" i="2"/>
  <c r="K555" i="2"/>
  <c r="K483" i="2"/>
  <c r="L99" i="2"/>
  <c r="Q99" i="2" s="1"/>
  <c r="K1117" i="2"/>
  <c r="K675" i="2"/>
  <c r="K651" i="2"/>
  <c r="L227" i="2"/>
  <c r="Q227" i="2" s="1"/>
  <c r="K171" i="2"/>
  <c r="K107" i="2"/>
  <c r="K1578" i="2"/>
  <c r="L1546" i="2"/>
  <c r="Q1546" i="2" s="1"/>
  <c r="L1296" i="2"/>
  <c r="Q1296" i="2" s="1"/>
  <c r="K34" i="2"/>
  <c r="M34" i="2"/>
  <c r="K1326" i="2"/>
  <c r="M1326" i="2"/>
  <c r="K1006" i="2"/>
  <c r="M1006" i="2"/>
  <c r="L380" i="2"/>
  <c r="Q380" i="2" s="1"/>
  <c r="M380" i="2"/>
  <c r="L1672" i="2"/>
  <c r="Q1672" i="2" s="1"/>
  <c r="M1672" i="2"/>
  <c r="K33" i="2"/>
  <c r="M33" i="2"/>
  <c r="L1703" i="2"/>
  <c r="Q1703" i="2" s="1"/>
  <c r="M1703" i="2"/>
  <c r="L1671" i="2"/>
  <c r="Q1671" i="2" s="1"/>
  <c r="M1671" i="2"/>
  <c r="L1639" i="2"/>
  <c r="Q1639" i="2" s="1"/>
  <c r="M1639" i="2"/>
  <c r="K1607" i="2"/>
  <c r="M1607" i="2"/>
  <c r="L1575" i="2"/>
  <c r="Q1575" i="2" s="1"/>
  <c r="M1575" i="2"/>
  <c r="K1543" i="2"/>
  <c r="M1543" i="2"/>
  <c r="L1511" i="2"/>
  <c r="Q1511" i="2" s="1"/>
  <c r="M1511" i="2"/>
  <c r="L1479" i="2"/>
  <c r="Q1479" i="2" s="1"/>
  <c r="M1479" i="2"/>
  <c r="L1447" i="2"/>
  <c r="Q1447" i="2" s="1"/>
  <c r="M1447" i="2"/>
  <c r="L1415" i="2"/>
  <c r="M1415" i="2"/>
  <c r="K1383" i="2"/>
  <c r="M1383" i="2"/>
  <c r="K1324" i="2"/>
  <c r="M1324" i="2"/>
  <c r="L1292" i="2"/>
  <c r="M1292" i="2"/>
  <c r="K1260" i="2"/>
  <c r="M1260" i="2"/>
  <c r="L1228" i="2"/>
  <c r="M1228" i="2"/>
  <c r="K1196" i="2"/>
  <c r="M1196" i="2"/>
  <c r="K1164" i="2"/>
  <c r="M1164" i="2"/>
  <c r="K1132" i="2"/>
  <c r="M1132" i="2"/>
  <c r="L1100" i="2"/>
  <c r="Q1100" i="2" s="1"/>
  <c r="M1100" i="2"/>
  <c r="K1068" i="2"/>
  <c r="M1068" i="2"/>
  <c r="K1036" i="2"/>
  <c r="M1036" i="2"/>
  <c r="K1004" i="2"/>
  <c r="M1004" i="2"/>
  <c r="K972" i="2"/>
  <c r="M972" i="2"/>
  <c r="K940" i="2"/>
  <c r="M940" i="2"/>
  <c r="K858" i="2"/>
  <c r="M858" i="2"/>
  <c r="K826" i="2"/>
  <c r="M826" i="2"/>
  <c r="L794" i="2"/>
  <c r="Q794" i="2" s="1"/>
  <c r="M794" i="2"/>
  <c r="K762" i="2"/>
  <c r="M762" i="2"/>
  <c r="L730" i="2"/>
  <c r="Q730" i="2" s="1"/>
  <c r="M730" i="2"/>
  <c r="K698" i="2"/>
  <c r="O698" i="2" s="1"/>
  <c r="M698" i="2"/>
  <c r="K666" i="2"/>
  <c r="M666" i="2"/>
  <c r="K634" i="2"/>
  <c r="M634" i="2"/>
  <c r="L602" i="2"/>
  <c r="Q602" i="2" s="1"/>
  <c r="M602" i="2"/>
  <c r="K570" i="2"/>
  <c r="M570" i="2"/>
  <c r="K538" i="2"/>
  <c r="M538" i="2"/>
  <c r="K506" i="2"/>
  <c r="O506" i="2" s="1"/>
  <c r="M506" i="2"/>
  <c r="L474" i="2"/>
  <c r="Q474" i="2" s="1"/>
  <c r="M474" i="2"/>
  <c r="K442" i="2"/>
  <c r="M442" i="2"/>
  <c r="K410" i="2"/>
  <c r="M410" i="2"/>
  <c r="L378" i="2"/>
  <c r="Q378" i="2" s="1"/>
  <c r="M378" i="2"/>
  <c r="K346" i="2"/>
  <c r="M346" i="2"/>
  <c r="K314" i="2"/>
  <c r="M314" i="2"/>
  <c r="K282" i="2"/>
  <c r="M282" i="2"/>
  <c r="K250" i="2"/>
  <c r="M250" i="2"/>
  <c r="K218" i="2"/>
  <c r="O218" i="2" s="1"/>
  <c r="M218" i="2"/>
  <c r="L122" i="2"/>
  <c r="Q122" i="2" s="1"/>
  <c r="M122" i="2"/>
  <c r="L64" i="2"/>
  <c r="Q64" i="2" s="1"/>
  <c r="M64" i="2"/>
  <c r="K32" i="2"/>
  <c r="M32" i="2"/>
  <c r="L1641" i="2"/>
  <c r="Q1641" i="2" s="1"/>
  <c r="M1641" i="2"/>
  <c r="L1449" i="2"/>
  <c r="Q1449" i="2" s="1"/>
  <c r="M1449" i="2"/>
  <c r="K1102" i="2"/>
  <c r="M1102" i="2"/>
  <c r="K572" i="2"/>
  <c r="M572" i="2"/>
  <c r="L476" i="2"/>
  <c r="M476" i="2"/>
  <c r="K316" i="2"/>
  <c r="M316" i="2"/>
  <c r="K92" i="2"/>
  <c r="M92" i="2"/>
  <c r="L1544" i="2"/>
  <c r="Q1544" i="2" s="1"/>
  <c r="M1544" i="2"/>
  <c r="L1448" i="2"/>
  <c r="Q1448" i="2" s="1"/>
  <c r="M1448" i="2"/>
  <c r="K1197" i="2"/>
  <c r="M1197" i="2"/>
  <c r="K1037" i="2"/>
  <c r="M1037" i="2"/>
  <c r="K859" i="2"/>
  <c r="M859" i="2"/>
  <c r="K635" i="2"/>
  <c r="M635" i="2"/>
  <c r="K251" i="2"/>
  <c r="M251" i="2"/>
  <c r="K621" i="2"/>
  <c r="K1702" i="2"/>
  <c r="M1702" i="2"/>
  <c r="K1670" i="2"/>
  <c r="M1670" i="2"/>
  <c r="K1638" i="2"/>
  <c r="M1638" i="2"/>
  <c r="K1606" i="2"/>
  <c r="M1606" i="2"/>
  <c r="K1574" i="2"/>
  <c r="M1574" i="2"/>
  <c r="K1542" i="2"/>
  <c r="M1542" i="2"/>
  <c r="K1510" i="2"/>
  <c r="M1510" i="2"/>
  <c r="L1478" i="2"/>
  <c r="Q1478" i="2" s="1"/>
  <c r="M1478" i="2"/>
  <c r="L1446" i="2"/>
  <c r="Q1446" i="2" s="1"/>
  <c r="M1446" i="2"/>
  <c r="K1414" i="2"/>
  <c r="M1414" i="2"/>
  <c r="K1382" i="2"/>
  <c r="M1382" i="2"/>
  <c r="K1323" i="2"/>
  <c r="M1323" i="2"/>
  <c r="L1291" i="2"/>
  <c r="Q1291" i="2" s="1"/>
  <c r="M1291" i="2"/>
  <c r="K1259" i="2"/>
  <c r="M1259" i="2"/>
  <c r="L1227" i="2"/>
  <c r="Q1227" i="2" s="1"/>
  <c r="M1227" i="2"/>
  <c r="K1195" i="2"/>
  <c r="M1195" i="2"/>
  <c r="K1163" i="2"/>
  <c r="M1163" i="2"/>
  <c r="K1131" i="2"/>
  <c r="M1131" i="2"/>
  <c r="L1099" i="2"/>
  <c r="Q1099" i="2" s="1"/>
  <c r="M1099" i="2"/>
  <c r="K1067" i="2"/>
  <c r="M1067" i="2"/>
  <c r="L1035" i="2"/>
  <c r="Q1035" i="2" s="1"/>
  <c r="M1035" i="2"/>
  <c r="K1003" i="2"/>
  <c r="M1003" i="2"/>
  <c r="K971" i="2"/>
  <c r="M971" i="2"/>
  <c r="K939" i="2"/>
  <c r="M939" i="2"/>
  <c r="K857" i="2"/>
  <c r="M857" i="2"/>
  <c r="K825" i="2"/>
  <c r="M825" i="2"/>
  <c r="K793" i="2"/>
  <c r="M793" i="2"/>
  <c r="K729" i="2"/>
  <c r="M729" i="2"/>
  <c r="L697" i="2"/>
  <c r="Q697" i="2" s="1"/>
  <c r="M697" i="2"/>
  <c r="K665" i="2"/>
  <c r="M665" i="2"/>
  <c r="K633" i="2"/>
  <c r="O633" i="2" s="1"/>
  <c r="M633" i="2"/>
  <c r="L601" i="2"/>
  <c r="Q601" i="2" s="1"/>
  <c r="M601" i="2"/>
  <c r="L569" i="2"/>
  <c r="Q569" i="2" s="1"/>
  <c r="M569" i="2"/>
  <c r="K537" i="2"/>
  <c r="M537" i="2"/>
  <c r="K505" i="2"/>
  <c r="M505" i="2"/>
  <c r="L473" i="2"/>
  <c r="Q473" i="2" s="1"/>
  <c r="M473" i="2"/>
  <c r="K441" i="2"/>
  <c r="M441" i="2"/>
  <c r="K409" i="2"/>
  <c r="M409" i="2"/>
  <c r="L377" i="2"/>
  <c r="Q377" i="2" s="1"/>
  <c r="M377" i="2"/>
  <c r="K345" i="2"/>
  <c r="M345" i="2"/>
  <c r="K313" i="2"/>
  <c r="M313" i="2"/>
  <c r="K281" i="2"/>
  <c r="M281" i="2"/>
  <c r="L249" i="2"/>
  <c r="Q249" i="2" s="1"/>
  <c r="M249" i="2"/>
  <c r="K217" i="2"/>
  <c r="M217" i="2"/>
  <c r="K185" i="2"/>
  <c r="M185" i="2"/>
  <c r="L121" i="2"/>
  <c r="Q121" i="2" s="1"/>
  <c r="M121" i="2"/>
  <c r="K89" i="2"/>
  <c r="M89" i="2"/>
  <c r="K63" i="2"/>
  <c r="M63" i="2"/>
  <c r="K31" i="2"/>
  <c r="M31" i="2"/>
  <c r="K1609" i="2"/>
  <c r="M1609" i="2"/>
  <c r="K1198" i="2"/>
  <c r="M1198" i="2"/>
  <c r="L942" i="2"/>
  <c r="Q942" i="2" s="1"/>
  <c r="M942" i="2"/>
  <c r="K764" i="2"/>
  <c r="O764" i="2" s="1"/>
  <c r="M764" i="2"/>
  <c r="K540" i="2"/>
  <c r="M540" i="2"/>
  <c r="K252" i="2"/>
  <c r="M252" i="2"/>
  <c r="L1512" i="2"/>
  <c r="Q1512" i="2" s="1"/>
  <c r="M1512" i="2"/>
  <c r="K507" i="2"/>
  <c r="M507" i="2"/>
  <c r="L123" i="2"/>
  <c r="Q123" i="2" s="1"/>
  <c r="M123" i="2"/>
  <c r="L1637" i="2"/>
  <c r="Q1637" i="2" s="1"/>
  <c r="M1637" i="2"/>
  <c r="L1413" i="2"/>
  <c r="Q1413" i="2" s="1"/>
  <c r="M1413" i="2"/>
  <c r="L1098" i="2"/>
  <c r="Q1098" i="2" s="1"/>
  <c r="M1098" i="2"/>
  <c r="K792" i="2"/>
  <c r="M792" i="2"/>
  <c r="K760" i="2"/>
  <c r="M760" i="2"/>
  <c r="L696" i="2"/>
  <c r="Q696" i="2" s="1"/>
  <c r="M696" i="2"/>
  <c r="K632" i="2"/>
  <c r="M632" i="2"/>
  <c r="K600" i="2"/>
  <c r="M600" i="2"/>
  <c r="L568" i="2"/>
  <c r="Q568" i="2" s="1"/>
  <c r="M568" i="2"/>
  <c r="L536" i="2"/>
  <c r="Q536" i="2" s="1"/>
  <c r="M536" i="2"/>
  <c r="K504" i="2"/>
  <c r="M504" i="2"/>
  <c r="L472" i="2"/>
  <c r="Q472" i="2" s="1"/>
  <c r="M472" i="2"/>
  <c r="K440" i="2"/>
  <c r="O440" i="2" s="1"/>
  <c r="M440" i="2"/>
  <c r="K408" i="2"/>
  <c r="M408" i="2"/>
  <c r="L376" i="2"/>
  <c r="Q376" i="2" s="1"/>
  <c r="M376" i="2"/>
  <c r="K344" i="2"/>
  <c r="M344" i="2"/>
  <c r="K312" i="2"/>
  <c r="M312" i="2"/>
  <c r="L280" i="2"/>
  <c r="Q280" i="2" s="1"/>
  <c r="M280" i="2"/>
  <c r="K248" i="2"/>
  <c r="M248" i="2"/>
  <c r="K216" i="2"/>
  <c r="M216" i="2"/>
  <c r="K184" i="2"/>
  <c r="M184" i="2"/>
  <c r="K88" i="2"/>
  <c r="M88" i="2"/>
  <c r="K62" i="2"/>
  <c r="M62" i="2"/>
  <c r="K30" i="2"/>
  <c r="M30" i="2"/>
  <c r="L1417" i="2"/>
  <c r="M1417" i="2"/>
  <c r="K1133" i="2"/>
  <c r="M1133" i="2"/>
  <c r="K941" i="2"/>
  <c r="M941" i="2"/>
  <c r="K667" i="2"/>
  <c r="M667" i="2"/>
  <c r="K411" i="2"/>
  <c r="O411" i="2" s="1"/>
  <c r="M411" i="2"/>
  <c r="K1669" i="2"/>
  <c r="M1669" i="2"/>
  <c r="K1381" i="2"/>
  <c r="M1381" i="2"/>
  <c r="K1034" i="2"/>
  <c r="M1034" i="2"/>
  <c r="K1380" i="2"/>
  <c r="M1380" i="2"/>
  <c r="K1193" i="2"/>
  <c r="O1193" i="2" s="1"/>
  <c r="M1193" i="2"/>
  <c r="L1161" i="2"/>
  <c r="Q1161" i="2" s="1"/>
  <c r="M1161" i="2"/>
  <c r="K1129" i="2"/>
  <c r="M1129" i="2"/>
  <c r="L1097" i="2"/>
  <c r="Q1097" i="2" s="1"/>
  <c r="M1097" i="2"/>
  <c r="K1065" i="2"/>
  <c r="M1065" i="2"/>
  <c r="K1033" i="2"/>
  <c r="M1033" i="2"/>
  <c r="K1001" i="2"/>
  <c r="M1001" i="2"/>
  <c r="K969" i="2"/>
  <c r="M969" i="2"/>
  <c r="L937" i="2"/>
  <c r="Q937" i="2" s="1"/>
  <c r="M937" i="2"/>
  <c r="K855" i="2"/>
  <c r="M855" i="2"/>
  <c r="K823" i="2"/>
  <c r="M823" i="2"/>
  <c r="K791" i="2"/>
  <c r="M791" i="2"/>
  <c r="L759" i="2"/>
  <c r="Q759" i="2" s="1"/>
  <c r="M759" i="2"/>
  <c r="K727" i="2"/>
  <c r="M727" i="2"/>
  <c r="L695" i="2"/>
  <c r="Q695" i="2" s="1"/>
  <c r="M695" i="2"/>
  <c r="K599" i="2"/>
  <c r="M599" i="2"/>
  <c r="L567" i="2"/>
  <c r="Q567" i="2" s="1"/>
  <c r="M567" i="2"/>
  <c r="K535" i="2"/>
  <c r="M535" i="2"/>
  <c r="K503" i="2"/>
  <c r="M503" i="2"/>
  <c r="L471" i="2"/>
  <c r="Q471" i="2" s="1"/>
  <c r="M471" i="2"/>
  <c r="K439" i="2"/>
  <c r="M439" i="2"/>
  <c r="K407" i="2"/>
  <c r="M407" i="2"/>
  <c r="L375" i="2"/>
  <c r="Q375" i="2" s="1"/>
  <c r="M375" i="2"/>
  <c r="K343" i="2"/>
  <c r="M343" i="2"/>
  <c r="K311" i="2"/>
  <c r="M311" i="2"/>
  <c r="L279" i="2"/>
  <c r="Q279" i="2" s="1"/>
  <c r="M279" i="2"/>
  <c r="K247" i="2"/>
  <c r="M247" i="2"/>
  <c r="K215" i="2"/>
  <c r="M215" i="2"/>
  <c r="L183" i="2"/>
  <c r="Q183" i="2" s="1"/>
  <c r="M183" i="2"/>
  <c r="L119" i="2"/>
  <c r="M119" i="2"/>
  <c r="K87" i="2"/>
  <c r="M87" i="2"/>
  <c r="K61" i="2"/>
  <c r="M61" i="2"/>
  <c r="K29" i="2"/>
  <c r="M29" i="2"/>
  <c r="K1699" i="2"/>
  <c r="M1699" i="2"/>
  <c r="K1667" i="2"/>
  <c r="M1667" i="2"/>
  <c r="L1635" i="2"/>
  <c r="Q1635" i="2" s="1"/>
  <c r="M1635" i="2"/>
  <c r="K1603" i="2"/>
  <c r="M1603" i="2"/>
  <c r="K1571" i="2"/>
  <c r="M1571" i="2"/>
  <c r="K1539" i="2"/>
  <c r="M1539" i="2"/>
  <c r="K1507" i="2"/>
  <c r="O1507" i="2" s="1"/>
  <c r="M1507" i="2"/>
  <c r="L1475" i="2"/>
  <c r="Q1475" i="2" s="1"/>
  <c r="M1475" i="2"/>
  <c r="K1443" i="2"/>
  <c r="M1443" i="2"/>
  <c r="L1411" i="2"/>
  <c r="Q1411" i="2" s="1"/>
  <c r="M1411" i="2"/>
  <c r="K1379" i="2"/>
  <c r="M1379" i="2"/>
  <c r="K1320" i="2"/>
  <c r="O1320" i="2" s="1"/>
  <c r="M1320" i="2"/>
  <c r="L1288" i="2"/>
  <c r="M1288" i="2"/>
  <c r="K1256" i="2"/>
  <c r="O1256" i="2" s="1"/>
  <c r="M1256" i="2"/>
  <c r="L1224" i="2"/>
  <c r="Q1224" i="2" s="1"/>
  <c r="M1224" i="2"/>
  <c r="L1192" i="2"/>
  <c r="Q1192" i="2" s="1"/>
  <c r="M1192" i="2"/>
  <c r="K1160" i="2"/>
  <c r="M1160" i="2"/>
  <c r="K1128" i="2"/>
  <c r="M1128" i="2"/>
  <c r="L1096" i="2"/>
  <c r="Q1096" i="2" s="1"/>
  <c r="M1096" i="2"/>
  <c r="K1064" i="2"/>
  <c r="M1064" i="2"/>
  <c r="K1032" i="2"/>
  <c r="M1032" i="2"/>
  <c r="K1000" i="2"/>
  <c r="O1000" i="2" s="1"/>
  <c r="M1000" i="2"/>
  <c r="K968" i="2"/>
  <c r="M968" i="2"/>
  <c r="L936" i="2"/>
  <c r="Q936" i="2" s="1"/>
  <c r="M936" i="2"/>
  <c r="L854" i="2"/>
  <c r="Q854" i="2" s="1"/>
  <c r="M854" i="2"/>
  <c r="K822" i="2"/>
  <c r="M822" i="2"/>
  <c r="K790" i="2"/>
  <c r="M790" i="2"/>
  <c r="K726" i="2"/>
  <c r="M726" i="2"/>
  <c r="K694" i="2"/>
  <c r="M694" i="2"/>
  <c r="L566" i="2"/>
  <c r="Q566" i="2" s="1"/>
  <c r="M566" i="2"/>
  <c r="K534" i="2"/>
  <c r="M534" i="2"/>
  <c r="K502" i="2"/>
  <c r="M502" i="2"/>
  <c r="L470" i="2"/>
  <c r="Q470" i="2" s="1"/>
  <c r="M470" i="2"/>
  <c r="K406" i="2"/>
  <c r="M406" i="2"/>
  <c r="L278" i="2"/>
  <c r="Q278" i="2" s="1"/>
  <c r="M278" i="2"/>
  <c r="K246" i="2"/>
  <c r="M246" i="2"/>
  <c r="L182" i="2"/>
  <c r="Q182" i="2" s="1"/>
  <c r="M182" i="2"/>
  <c r="L1698" i="2"/>
  <c r="Q1698" i="2" s="1"/>
  <c r="M1698" i="2"/>
  <c r="K1666" i="2"/>
  <c r="M1666" i="2"/>
  <c r="L1634" i="2"/>
  <c r="Q1634" i="2" s="1"/>
  <c r="M1634" i="2"/>
  <c r="K1602" i="2"/>
  <c r="M1602" i="2"/>
  <c r="K1570" i="2"/>
  <c r="M1570" i="2"/>
  <c r="K1506" i="2"/>
  <c r="M1506" i="2"/>
  <c r="L1474" i="2"/>
  <c r="Q1474" i="2" s="1"/>
  <c r="M1474" i="2"/>
  <c r="K1442" i="2"/>
  <c r="M1442" i="2"/>
  <c r="K1410" i="2"/>
  <c r="O1410" i="2" s="1"/>
  <c r="M1410" i="2"/>
  <c r="K1378" i="2"/>
  <c r="M1378" i="2"/>
  <c r="L1319" i="2"/>
  <c r="M1319" i="2"/>
  <c r="L1287" i="2"/>
  <c r="M1287" i="2"/>
  <c r="K1255" i="2"/>
  <c r="M1255" i="2"/>
  <c r="L1223" i="2"/>
  <c r="Q1223" i="2" s="1"/>
  <c r="M1223" i="2"/>
  <c r="L1191" i="2"/>
  <c r="Q1191" i="2" s="1"/>
  <c r="M1191" i="2"/>
  <c r="K1159" i="2"/>
  <c r="M1159" i="2"/>
  <c r="K1127" i="2"/>
  <c r="M1127" i="2"/>
  <c r="L1095" i="2"/>
  <c r="Q1095" i="2" s="1"/>
  <c r="M1095" i="2"/>
  <c r="K1063" i="2"/>
  <c r="O1063" i="2" s="1"/>
  <c r="M1063" i="2"/>
  <c r="K1031" i="2"/>
  <c r="M1031" i="2"/>
  <c r="K999" i="2"/>
  <c r="M999" i="2"/>
  <c r="K967" i="2"/>
  <c r="O967" i="2" s="1"/>
  <c r="M967" i="2"/>
  <c r="K935" i="2"/>
  <c r="M935" i="2"/>
  <c r="K853" i="2"/>
  <c r="M853" i="2"/>
  <c r="K821" i="2"/>
  <c r="M821" i="2"/>
  <c r="K757" i="2"/>
  <c r="M757" i="2"/>
  <c r="K725" i="2"/>
  <c r="O725" i="2" s="1"/>
  <c r="M725" i="2"/>
  <c r="K693" i="2"/>
  <c r="M693" i="2"/>
  <c r="L661" i="2"/>
  <c r="Q661" i="2" s="1"/>
  <c r="M661" i="2"/>
  <c r="L565" i="2"/>
  <c r="Q565" i="2" s="1"/>
  <c r="M565" i="2"/>
  <c r="K501" i="2"/>
  <c r="M501" i="2"/>
  <c r="L469" i="2"/>
  <c r="Q469" i="2" s="1"/>
  <c r="M469" i="2"/>
  <c r="K437" i="2"/>
  <c r="M437" i="2"/>
  <c r="K309" i="2"/>
  <c r="M309" i="2"/>
  <c r="K245" i="2"/>
  <c r="M245" i="2"/>
  <c r="K213" i="2"/>
  <c r="M213" i="2"/>
  <c r="L117" i="2"/>
  <c r="Q117" i="2" s="1"/>
  <c r="M117" i="2"/>
  <c r="L1697" i="2"/>
  <c r="Q1697" i="2" s="1"/>
  <c r="M1697" i="2"/>
  <c r="K1665" i="2"/>
  <c r="M1665" i="2"/>
  <c r="L1633" i="2"/>
  <c r="Q1633" i="2" s="1"/>
  <c r="M1633" i="2"/>
  <c r="K1601" i="2"/>
  <c r="M1601" i="2"/>
  <c r="K1569" i="2"/>
  <c r="M1569" i="2"/>
  <c r="K1537" i="2"/>
  <c r="M1537" i="2"/>
  <c r="K1505" i="2"/>
  <c r="M1505" i="2"/>
  <c r="K1473" i="2"/>
  <c r="M1473" i="2"/>
  <c r="K1441" i="2"/>
  <c r="M1441" i="2"/>
  <c r="K1409" i="2"/>
  <c r="M1409" i="2"/>
  <c r="L1377" i="2"/>
  <c r="Q1377" i="2" s="1"/>
  <c r="M1377" i="2"/>
  <c r="K1318" i="2"/>
  <c r="M1318" i="2"/>
  <c r="K1286" i="2"/>
  <c r="M1286" i="2"/>
  <c r="L1254" i="2"/>
  <c r="M1254" i="2"/>
  <c r="L1222" i="2"/>
  <c r="Q1222" i="2" s="1"/>
  <c r="M1222" i="2"/>
  <c r="L1190" i="2"/>
  <c r="Q1190" i="2" s="1"/>
  <c r="M1190" i="2"/>
  <c r="K1158" i="2"/>
  <c r="M1158" i="2"/>
  <c r="K1126" i="2"/>
  <c r="M1126" i="2"/>
  <c r="K1094" i="2"/>
  <c r="M1094" i="2"/>
  <c r="K1062" i="2"/>
  <c r="O1062" i="2" s="1"/>
  <c r="M1062" i="2"/>
  <c r="K1030" i="2"/>
  <c r="M1030" i="2"/>
  <c r="K998" i="2"/>
  <c r="O998" i="2" s="1"/>
  <c r="M998" i="2"/>
  <c r="K966" i="2"/>
  <c r="M966" i="2"/>
  <c r="K934" i="2"/>
  <c r="M934" i="2"/>
  <c r="K852" i="2"/>
  <c r="M852" i="2"/>
  <c r="K820" i="2"/>
  <c r="M820" i="2"/>
  <c r="K788" i="2"/>
  <c r="M788" i="2"/>
  <c r="K756" i="2"/>
  <c r="M756" i="2"/>
  <c r="K724" i="2"/>
  <c r="M724" i="2"/>
  <c r="K692" i="2"/>
  <c r="M692" i="2"/>
  <c r="L660" i="2"/>
  <c r="Q660" i="2" s="1"/>
  <c r="M660" i="2"/>
  <c r="L564" i="2"/>
  <c r="Q564" i="2" s="1"/>
  <c r="M564" i="2"/>
  <c r="L468" i="2"/>
  <c r="Q468" i="2" s="1"/>
  <c r="M468" i="2"/>
  <c r="K436" i="2"/>
  <c r="M436" i="2"/>
  <c r="K404" i="2"/>
  <c r="M404" i="2"/>
  <c r="L372" i="2"/>
  <c r="Q372" i="2" s="1"/>
  <c r="M372" i="2"/>
  <c r="L340" i="2"/>
  <c r="Q340" i="2" s="1"/>
  <c r="M340" i="2"/>
  <c r="K308" i="2"/>
  <c r="M308" i="2"/>
  <c r="L276" i="2"/>
  <c r="Q276" i="2" s="1"/>
  <c r="M276" i="2"/>
  <c r="K244" i="2"/>
  <c r="O244" i="2" s="1"/>
  <c r="M244" i="2"/>
  <c r="K212" i="2"/>
  <c r="O212" i="2" s="1"/>
  <c r="M212" i="2"/>
  <c r="L180" i="2"/>
  <c r="Q180" i="2" s="1"/>
  <c r="M180" i="2"/>
  <c r="K148" i="2"/>
  <c r="M148" i="2"/>
  <c r="L116" i="2"/>
  <c r="Q116" i="2" s="1"/>
  <c r="M116" i="2"/>
  <c r="K26" i="2"/>
  <c r="M26" i="2"/>
  <c r="L1695" i="2"/>
  <c r="Q1695" i="2" s="1"/>
  <c r="M1695" i="2"/>
  <c r="K1663" i="2"/>
  <c r="M1663" i="2"/>
  <c r="K1599" i="2"/>
  <c r="M1599" i="2"/>
  <c r="K1567" i="2"/>
  <c r="M1567" i="2"/>
  <c r="K1535" i="2"/>
  <c r="M1535" i="2"/>
  <c r="K1503" i="2"/>
  <c r="M1503" i="2"/>
  <c r="K1471" i="2"/>
  <c r="M1471" i="2"/>
  <c r="L1407" i="2"/>
  <c r="Q1407" i="2" s="1"/>
  <c r="M1407" i="2"/>
  <c r="K1375" i="2"/>
  <c r="M1375" i="2"/>
  <c r="K1316" i="2"/>
  <c r="M1316" i="2"/>
  <c r="K1284" i="2"/>
  <c r="M1284" i="2"/>
  <c r="K1252" i="2"/>
  <c r="O1252" i="2" s="1"/>
  <c r="M1252" i="2"/>
  <c r="L1220" i="2"/>
  <c r="Q1220" i="2" s="1"/>
  <c r="M1220" i="2"/>
  <c r="L1188" i="2"/>
  <c r="Q1188" i="2" s="1"/>
  <c r="M1188" i="2"/>
  <c r="K1156" i="2"/>
  <c r="M1156" i="2"/>
  <c r="K1124" i="2"/>
  <c r="M1124" i="2"/>
  <c r="K1092" i="2"/>
  <c r="M1092" i="2"/>
  <c r="K1060" i="2"/>
  <c r="M1060" i="2"/>
  <c r="L1028" i="2"/>
  <c r="Q1028" i="2" s="1"/>
  <c r="M1028" i="2"/>
  <c r="K996" i="2"/>
  <c r="M996" i="2"/>
  <c r="K964" i="2"/>
  <c r="M964" i="2"/>
  <c r="K932" i="2"/>
  <c r="M932" i="2"/>
  <c r="K882" i="2"/>
  <c r="M882" i="2"/>
  <c r="K850" i="2"/>
  <c r="M850" i="2"/>
  <c r="K818" i="2"/>
  <c r="M818" i="2"/>
  <c r="K786" i="2"/>
  <c r="M786" i="2"/>
  <c r="K722" i="2"/>
  <c r="M722" i="2"/>
  <c r="K370" i="2"/>
  <c r="M370" i="2"/>
  <c r="K24" i="2"/>
  <c r="M24" i="2"/>
  <c r="K1694" i="2"/>
  <c r="M1694" i="2"/>
  <c r="K1662" i="2"/>
  <c r="M1662" i="2"/>
  <c r="L1630" i="2"/>
  <c r="Q1630" i="2" s="1"/>
  <c r="M1630" i="2"/>
  <c r="K1598" i="2"/>
  <c r="M1598" i="2"/>
  <c r="K1534" i="2"/>
  <c r="M1534" i="2"/>
  <c r="K1502" i="2"/>
  <c r="M1502" i="2"/>
  <c r="L1470" i="2"/>
  <c r="Q1470" i="2" s="1"/>
  <c r="M1470" i="2"/>
  <c r="K1438" i="2"/>
  <c r="M1438" i="2"/>
  <c r="L1406" i="2"/>
  <c r="Q1406" i="2" s="1"/>
  <c r="M1406" i="2"/>
  <c r="K1374" i="2"/>
  <c r="M1374" i="2"/>
  <c r="K1315" i="2"/>
  <c r="M1315" i="2"/>
  <c r="K1283" i="2"/>
  <c r="M1283" i="2"/>
  <c r="K1251" i="2"/>
  <c r="M1251" i="2"/>
  <c r="L1219" i="2"/>
  <c r="Q1219" i="2" s="1"/>
  <c r="M1219" i="2"/>
  <c r="L1187" i="2"/>
  <c r="Q1187" i="2" s="1"/>
  <c r="M1187" i="2"/>
  <c r="K1155" i="2"/>
  <c r="M1155" i="2"/>
  <c r="K1123" i="2"/>
  <c r="M1123" i="2"/>
  <c r="L1091" i="2"/>
  <c r="Q1091" i="2" s="1"/>
  <c r="M1091" i="2"/>
  <c r="K1059" i="2"/>
  <c r="M1059" i="2"/>
  <c r="L1027" i="2"/>
  <c r="Q1027" i="2" s="1"/>
  <c r="M1027" i="2"/>
  <c r="L995" i="2"/>
  <c r="Q995" i="2" s="1"/>
  <c r="M995" i="2"/>
  <c r="K963" i="2"/>
  <c r="M963" i="2"/>
  <c r="K931" i="2"/>
  <c r="M931" i="2"/>
  <c r="K881" i="2"/>
  <c r="M881" i="2"/>
  <c r="L849" i="2"/>
  <c r="Q849" i="2" s="1"/>
  <c r="M849" i="2"/>
  <c r="K817" i="2"/>
  <c r="M817" i="2"/>
  <c r="K785" i="2"/>
  <c r="M785" i="2"/>
  <c r="K753" i="2"/>
  <c r="M753" i="2"/>
  <c r="K721" i="2"/>
  <c r="O721" i="2" s="1"/>
  <c r="M721" i="2"/>
  <c r="K689" i="2"/>
  <c r="M689" i="2"/>
  <c r="L657" i="2"/>
  <c r="M657" i="2"/>
  <c r="K625" i="2"/>
  <c r="O625" i="2" s="1"/>
  <c r="M625" i="2"/>
  <c r="K593" i="2"/>
  <c r="M593" i="2"/>
  <c r="L561" i="2"/>
  <c r="Q561" i="2" s="1"/>
  <c r="M561" i="2"/>
  <c r="L529" i="2"/>
  <c r="Q529" i="2" s="1"/>
  <c r="M529" i="2"/>
  <c r="K369" i="2"/>
  <c r="M369" i="2"/>
  <c r="K337" i="2"/>
  <c r="M337" i="2"/>
  <c r="K305" i="2"/>
  <c r="M305" i="2"/>
  <c r="K273" i="2"/>
  <c r="M273" i="2"/>
  <c r="L241" i="2"/>
  <c r="M241" i="2"/>
  <c r="K209" i="2"/>
  <c r="O209" i="2" s="1"/>
  <c r="M209" i="2"/>
  <c r="L145" i="2"/>
  <c r="Q145" i="2" s="1"/>
  <c r="M145" i="2"/>
  <c r="K113" i="2"/>
  <c r="O113" i="2" s="1"/>
  <c r="M113" i="2"/>
  <c r="K55" i="2"/>
  <c r="M55" i="2"/>
  <c r="L1640" i="2"/>
  <c r="Q1640" i="2" s="1"/>
  <c r="M1640" i="2"/>
  <c r="K1325" i="2"/>
  <c r="M1325" i="2"/>
  <c r="K1101" i="2"/>
  <c r="M1101" i="2"/>
  <c r="K973" i="2"/>
  <c r="O973" i="2" s="1"/>
  <c r="M973" i="2"/>
  <c r="K699" i="2"/>
  <c r="M699" i="2"/>
  <c r="K603" i="2"/>
  <c r="M603" i="2"/>
  <c r="L475" i="2"/>
  <c r="Q475" i="2" s="1"/>
  <c r="M475" i="2"/>
  <c r="K347" i="2"/>
  <c r="M347" i="2"/>
  <c r="K91" i="2"/>
  <c r="M91" i="2"/>
  <c r="K1701" i="2"/>
  <c r="M1701" i="2"/>
  <c r="K1509" i="2"/>
  <c r="M1509" i="2"/>
  <c r="K1258" i="2"/>
  <c r="M1258" i="2"/>
  <c r="K1162" i="2"/>
  <c r="O1162" i="2" s="1"/>
  <c r="M1162" i="2"/>
  <c r="L856" i="2"/>
  <c r="Q856" i="2" s="1"/>
  <c r="M856" i="2"/>
  <c r="K1668" i="2"/>
  <c r="M1668" i="2"/>
  <c r="K1572" i="2"/>
  <c r="M1572" i="2"/>
  <c r="K1321" i="2"/>
  <c r="O1321" i="2" s="1"/>
  <c r="M1321" i="2"/>
  <c r="K1504" i="2"/>
  <c r="M1504" i="2"/>
  <c r="K1317" i="2"/>
  <c r="M1317" i="2"/>
  <c r="K1125" i="2"/>
  <c r="M1125" i="2"/>
  <c r="K1029" i="2"/>
  <c r="M1029" i="2"/>
  <c r="K819" i="2"/>
  <c r="M819" i="2"/>
  <c r="K691" i="2"/>
  <c r="O691" i="2" s="1"/>
  <c r="M691" i="2"/>
  <c r="L339" i="2"/>
  <c r="Q339" i="2" s="1"/>
  <c r="M339" i="2"/>
  <c r="K307" i="2"/>
  <c r="M307" i="2"/>
  <c r="K275" i="2"/>
  <c r="M275" i="2"/>
  <c r="K147" i="2"/>
  <c r="M147" i="2"/>
  <c r="K57" i="2"/>
  <c r="M57" i="2"/>
  <c r="K25" i="2"/>
  <c r="M25" i="2"/>
  <c r="L1631" i="2"/>
  <c r="Q1631" i="2" s="1"/>
  <c r="M1631" i="2"/>
  <c r="K1439" i="2"/>
  <c r="M1439" i="2"/>
  <c r="K1566" i="2"/>
  <c r="O1566" i="2" s="1"/>
  <c r="M1566" i="2"/>
  <c r="L1693" i="2"/>
  <c r="Q1693" i="2" s="1"/>
  <c r="M1693" i="2"/>
  <c r="K1661" i="2"/>
  <c r="M1661" i="2"/>
  <c r="K1597" i="2"/>
  <c r="M1597" i="2"/>
  <c r="K1565" i="2"/>
  <c r="M1565" i="2"/>
  <c r="K1533" i="2"/>
  <c r="M1533" i="2"/>
  <c r="K1501" i="2"/>
  <c r="M1501" i="2"/>
  <c r="K1469" i="2"/>
  <c r="O1469" i="2" s="1"/>
  <c r="M1469" i="2"/>
  <c r="K1437" i="2"/>
  <c r="M1437" i="2"/>
  <c r="L1405" i="2"/>
  <c r="Q1405" i="2" s="1"/>
  <c r="M1405" i="2"/>
  <c r="K1373" i="2"/>
  <c r="M1373" i="2"/>
  <c r="K1314" i="2"/>
  <c r="M1314" i="2"/>
  <c r="K1282" i="2"/>
  <c r="M1282" i="2"/>
  <c r="K1250" i="2"/>
  <c r="M1250" i="2"/>
  <c r="L1218" i="2"/>
  <c r="Q1218" i="2" s="1"/>
  <c r="M1218" i="2"/>
  <c r="L1186" i="2"/>
  <c r="Q1186" i="2" s="1"/>
  <c r="M1186" i="2"/>
  <c r="L1154" i="2"/>
  <c r="M1154" i="2"/>
  <c r="K1122" i="2"/>
  <c r="M1122" i="2"/>
  <c r="K1090" i="2"/>
  <c r="M1090" i="2"/>
  <c r="K1058" i="2"/>
  <c r="M1058" i="2"/>
  <c r="L1026" i="2"/>
  <c r="Q1026" i="2" s="1"/>
  <c r="M1026" i="2"/>
  <c r="L994" i="2"/>
  <c r="Q994" i="2" s="1"/>
  <c r="M994" i="2"/>
  <c r="K962" i="2"/>
  <c r="M962" i="2"/>
  <c r="K930" i="2"/>
  <c r="M930" i="2"/>
  <c r="K880" i="2"/>
  <c r="O880" i="2" s="1"/>
  <c r="M880" i="2"/>
  <c r="L848" i="2"/>
  <c r="Q848" i="2" s="1"/>
  <c r="M848" i="2"/>
  <c r="L816" i="2"/>
  <c r="Q816" i="2" s="1"/>
  <c r="M816" i="2"/>
  <c r="K784" i="2"/>
  <c r="M784" i="2"/>
  <c r="L752" i="2"/>
  <c r="Q752" i="2" s="1"/>
  <c r="M752" i="2"/>
  <c r="K720" i="2"/>
  <c r="M720" i="2"/>
  <c r="K688" i="2"/>
  <c r="M688" i="2"/>
  <c r="L656" i="2"/>
  <c r="Q656" i="2" s="1"/>
  <c r="M656" i="2"/>
  <c r="K624" i="2"/>
  <c r="M624" i="2"/>
  <c r="K560" i="2"/>
  <c r="M560" i="2"/>
  <c r="K496" i="2"/>
  <c r="M496" i="2"/>
  <c r="L432" i="2"/>
  <c r="Q432" i="2" s="1"/>
  <c r="M432" i="2"/>
  <c r="L400" i="2"/>
  <c r="Q400" i="2" s="1"/>
  <c r="M400" i="2"/>
  <c r="K304" i="2"/>
  <c r="M304" i="2"/>
  <c r="K240" i="2"/>
  <c r="M240" i="2"/>
  <c r="K208" i="2"/>
  <c r="M208" i="2"/>
  <c r="L1705" i="2"/>
  <c r="Q1705" i="2" s="1"/>
  <c r="M1705" i="2"/>
  <c r="K1385" i="2"/>
  <c r="M1385" i="2"/>
  <c r="K636" i="2"/>
  <c r="M636" i="2"/>
  <c r="L1704" i="2"/>
  <c r="Q1704" i="2" s="1"/>
  <c r="M1704" i="2"/>
  <c r="K1261" i="2"/>
  <c r="M1261" i="2"/>
  <c r="L379" i="2"/>
  <c r="Q379" i="2" s="1"/>
  <c r="M379" i="2"/>
  <c r="K1541" i="2"/>
  <c r="M1541" i="2"/>
  <c r="L1226" i="2"/>
  <c r="Q1226" i="2" s="1"/>
  <c r="M1226" i="2"/>
  <c r="L938" i="2"/>
  <c r="Q938" i="2" s="1"/>
  <c r="M938" i="2"/>
  <c r="L1444" i="2"/>
  <c r="M1444" i="2"/>
  <c r="K1536" i="2"/>
  <c r="M1536" i="2"/>
  <c r="L1189" i="2"/>
  <c r="Q1189" i="2" s="1"/>
  <c r="M1189" i="2"/>
  <c r="L883" i="2"/>
  <c r="Q883" i="2" s="1"/>
  <c r="M883" i="2"/>
  <c r="L563" i="2"/>
  <c r="Q563" i="2" s="1"/>
  <c r="M563" i="2"/>
  <c r="K243" i="2"/>
  <c r="M243" i="2"/>
  <c r="K1564" i="2"/>
  <c r="M1564" i="2"/>
  <c r="K1532" i="2"/>
  <c r="M1532" i="2"/>
  <c r="K1500" i="2"/>
  <c r="M1500" i="2"/>
  <c r="L1468" i="2"/>
  <c r="Q1468" i="2" s="1"/>
  <c r="M1468" i="2"/>
  <c r="K1436" i="2"/>
  <c r="M1436" i="2"/>
  <c r="L1404" i="2"/>
  <c r="Q1404" i="2" s="1"/>
  <c r="M1404" i="2"/>
  <c r="K1372" i="2"/>
  <c r="M1372" i="2"/>
  <c r="K1313" i="2"/>
  <c r="M1313" i="2"/>
  <c r="K1281" i="2"/>
  <c r="M1281" i="2"/>
  <c r="K1249" i="2"/>
  <c r="O1249" i="2" s="1"/>
  <c r="M1249" i="2"/>
  <c r="L1217" i="2"/>
  <c r="Q1217" i="2" s="1"/>
  <c r="M1217" i="2"/>
  <c r="L1185" i="2"/>
  <c r="Q1185" i="2" s="1"/>
  <c r="M1185" i="2"/>
  <c r="L1153" i="2"/>
  <c r="Q1153" i="2" s="1"/>
  <c r="M1153" i="2"/>
  <c r="K1121" i="2"/>
  <c r="M1121" i="2"/>
  <c r="K1089" i="2"/>
  <c r="M1089" i="2"/>
  <c r="K1057" i="2"/>
  <c r="M1057" i="2"/>
  <c r="K1025" i="2"/>
  <c r="M1025" i="2"/>
  <c r="K993" i="2"/>
  <c r="M993" i="2"/>
  <c r="K961" i="2"/>
  <c r="M961" i="2"/>
  <c r="K929" i="2"/>
  <c r="M929" i="2"/>
  <c r="K847" i="2"/>
  <c r="M847" i="2"/>
  <c r="K815" i="2"/>
  <c r="M815" i="2"/>
  <c r="K783" i="2"/>
  <c r="M783" i="2"/>
  <c r="K751" i="2"/>
  <c r="M751" i="2"/>
  <c r="K719" i="2"/>
  <c r="M719" i="2"/>
  <c r="K591" i="2"/>
  <c r="M591" i="2"/>
  <c r="K559" i="2"/>
  <c r="M559" i="2"/>
  <c r="K495" i="2"/>
  <c r="M495" i="2"/>
  <c r="K303" i="2"/>
  <c r="M303" i="2"/>
  <c r="K111" i="2"/>
  <c r="M111" i="2"/>
  <c r="L1577" i="2"/>
  <c r="M1577" i="2"/>
  <c r="L1230" i="2"/>
  <c r="Q1230" i="2" s="1"/>
  <c r="M1230" i="2"/>
  <c r="L974" i="2"/>
  <c r="M974" i="2"/>
  <c r="K732" i="2"/>
  <c r="M732" i="2"/>
  <c r="L444" i="2"/>
  <c r="M444" i="2"/>
  <c r="K220" i="2"/>
  <c r="M220" i="2"/>
  <c r="L1293" i="2"/>
  <c r="Q1293" i="2" s="1"/>
  <c r="M1293" i="2"/>
  <c r="K1005" i="2"/>
  <c r="M1005" i="2"/>
  <c r="K731" i="2"/>
  <c r="M731" i="2"/>
  <c r="K283" i="2"/>
  <c r="M283" i="2"/>
  <c r="K970" i="2"/>
  <c r="O970" i="2" s="1"/>
  <c r="M970" i="2"/>
  <c r="K1289" i="2"/>
  <c r="M1289" i="2"/>
  <c r="K1568" i="2"/>
  <c r="M1568" i="2"/>
  <c r="K1376" i="2"/>
  <c r="M1376" i="2"/>
  <c r="K1157" i="2"/>
  <c r="M1157" i="2"/>
  <c r="K851" i="2"/>
  <c r="M851" i="2"/>
  <c r="K627" i="2"/>
  <c r="M627" i="2"/>
  <c r="K435" i="2"/>
  <c r="M435" i="2"/>
  <c r="K211" i="2"/>
  <c r="M211" i="2"/>
  <c r="K1692" i="2"/>
  <c r="M1692" i="2"/>
  <c r="L1627" i="2"/>
  <c r="Q1627" i="2" s="1"/>
  <c r="M1627" i="2"/>
  <c r="K1499" i="2"/>
  <c r="M1499" i="2"/>
  <c r="K1467" i="2"/>
  <c r="M1467" i="2"/>
  <c r="K1435" i="2"/>
  <c r="M1435" i="2"/>
  <c r="L1403" i="2"/>
  <c r="Q1403" i="2" s="1"/>
  <c r="M1403" i="2"/>
  <c r="K1371" i="2"/>
  <c r="M1371" i="2"/>
  <c r="K1312" i="2"/>
  <c r="M1312" i="2"/>
  <c r="K1280" i="2"/>
  <c r="M1280" i="2"/>
  <c r="K1248" i="2"/>
  <c r="M1248" i="2"/>
  <c r="L1216" i="2"/>
  <c r="Q1216" i="2" s="1"/>
  <c r="M1216" i="2"/>
  <c r="L1184" i="2"/>
  <c r="Q1184" i="2" s="1"/>
  <c r="M1184" i="2"/>
  <c r="L1152" i="2"/>
  <c r="M1152" i="2"/>
  <c r="K1120" i="2"/>
  <c r="M1120" i="2"/>
  <c r="K1088" i="2"/>
  <c r="M1088" i="2"/>
  <c r="K1056" i="2"/>
  <c r="M1056" i="2"/>
  <c r="K1024" i="2"/>
  <c r="M1024" i="2"/>
  <c r="K992" i="2"/>
  <c r="M992" i="2"/>
  <c r="K960" i="2"/>
  <c r="M960" i="2"/>
  <c r="K928" i="2"/>
  <c r="M928" i="2"/>
  <c r="K878" i="2"/>
  <c r="M878" i="2"/>
  <c r="K846" i="2"/>
  <c r="M846" i="2"/>
  <c r="K814" i="2"/>
  <c r="M814" i="2"/>
  <c r="L782" i="2"/>
  <c r="Q782" i="2" s="1"/>
  <c r="M782" i="2"/>
  <c r="K750" i="2"/>
  <c r="M750" i="2"/>
  <c r="K718" i="2"/>
  <c r="O718" i="2" s="1"/>
  <c r="M718" i="2"/>
  <c r="K622" i="2"/>
  <c r="M622" i="2"/>
  <c r="K590" i="2"/>
  <c r="M590" i="2"/>
  <c r="K462" i="2"/>
  <c r="M462" i="2"/>
  <c r="K238" i="2"/>
  <c r="M238" i="2"/>
  <c r="K84" i="2"/>
  <c r="M84" i="2"/>
  <c r="K20" i="2"/>
  <c r="M20" i="2"/>
  <c r="K1545" i="2"/>
  <c r="M1545" i="2"/>
  <c r="K1134" i="2"/>
  <c r="M1134" i="2"/>
  <c r="L828" i="2"/>
  <c r="Q828" i="2" s="1"/>
  <c r="M828" i="2"/>
  <c r="K668" i="2"/>
  <c r="M668" i="2"/>
  <c r="K412" i="2"/>
  <c r="M412" i="2"/>
  <c r="L156" i="2"/>
  <c r="Q156" i="2" s="1"/>
  <c r="M156" i="2"/>
  <c r="L1384" i="2"/>
  <c r="Q1384" i="2" s="1"/>
  <c r="M1384" i="2"/>
  <c r="L1477" i="2"/>
  <c r="Q1477" i="2" s="1"/>
  <c r="M1477" i="2"/>
  <c r="L1412" i="2"/>
  <c r="Q1412" i="2" s="1"/>
  <c r="M1412" i="2"/>
  <c r="K1664" i="2"/>
  <c r="M1664" i="2"/>
  <c r="K1408" i="2"/>
  <c r="M1408" i="2"/>
  <c r="L1221" i="2"/>
  <c r="Q1221" i="2" s="1"/>
  <c r="M1221" i="2"/>
  <c r="K997" i="2"/>
  <c r="M997" i="2"/>
  <c r="K755" i="2"/>
  <c r="M755" i="2"/>
  <c r="K179" i="2"/>
  <c r="M179" i="2"/>
  <c r="K1593" i="2"/>
  <c r="M1593" i="2"/>
  <c r="K1465" i="2"/>
  <c r="M1465" i="2"/>
  <c r="K1369" i="2"/>
  <c r="M1369" i="2"/>
  <c r="L1182" i="2"/>
  <c r="Q1182" i="2" s="1"/>
  <c r="M1182" i="2"/>
  <c r="L1150" i="2"/>
  <c r="M1150" i="2"/>
  <c r="L1118" i="2"/>
  <c r="Q1118" i="2" s="1"/>
  <c r="M1118" i="2"/>
  <c r="K1086" i="2"/>
  <c r="M1086" i="2"/>
  <c r="K1054" i="2"/>
  <c r="M1054" i="2"/>
  <c r="L1022" i="2"/>
  <c r="Q1022" i="2" s="1"/>
  <c r="M1022" i="2"/>
  <c r="L990" i="2"/>
  <c r="M990" i="2"/>
  <c r="K958" i="2"/>
  <c r="M958" i="2"/>
  <c r="K926" i="2"/>
  <c r="O926" i="2" s="1"/>
  <c r="M926" i="2"/>
  <c r="K876" i="2"/>
  <c r="M876" i="2"/>
  <c r="K844" i="2"/>
  <c r="M844" i="2"/>
  <c r="K812" i="2"/>
  <c r="M812" i="2"/>
  <c r="K780" i="2"/>
  <c r="M780" i="2"/>
  <c r="K716" i="2"/>
  <c r="M716" i="2"/>
  <c r="K684" i="2"/>
  <c r="O684" i="2" s="1"/>
  <c r="M684" i="2"/>
  <c r="K620" i="2"/>
  <c r="M620" i="2"/>
  <c r="K556" i="2"/>
  <c r="M556" i="2"/>
  <c r="K524" i="2"/>
  <c r="M524" i="2"/>
  <c r="K492" i="2"/>
  <c r="M492" i="2"/>
  <c r="K460" i="2"/>
  <c r="O460" i="2" s="1"/>
  <c r="M460" i="2"/>
  <c r="K428" i="2"/>
  <c r="M428" i="2"/>
  <c r="K396" i="2"/>
  <c r="M396" i="2"/>
  <c r="K268" i="2"/>
  <c r="M268" i="2"/>
  <c r="K236" i="2"/>
  <c r="M236" i="2"/>
  <c r="K204" i="2"/>
  <c r="M204" i="2"/>
  <c r="K172" i="2"/>
  <c r="M172" i="2"/>
  <c r="K108" i="2"/>
  <c r="M108" i="2"/>
  <c r="K18" i="2"/>
  <c r="M18" i="2"/>
  <c r="L1673" i="2"/>
  <c r="Q1673" i="2" s="1"/>
  <c r="M1673" i="2"/>
  <c r="L1481" i="2"/>
  <c r="M1481" i="2"/>
  <c r="L1294" i="2"/>
  <c r="Q1294" i="2" s="1"/>
  <c r="M1294" i="2"/>
  <c r="K1166" i="2"/>
  <c r="M1166" i="2"/>
  <c r="K1038" i="2"/>
  <c r="M1038" i="2"/>
  <c r="K508" i="2"/>
  <c r="M508" i="2"/>
  <c r="L284" i="2"/>
  <c r="Q284" i="2" s="1"/>
  <c r="M284" i="2"/>
  <c r="L124" i="2"/>
  <c r="Q124" i="2" s="1"/>
  <c r="M124" i="2"/>
  <c r="K1608" i="2"/>
  <c r="M1608" i="2"/>
  <c r="K1416" i="2"/>
  <c r="M1416" i="2"/>
  <c r="K1165" i="2"/>
  <c r="M1165" i="2"/>
  <c r="K539" i="2"/>
  <c r="M539" i="2"/>
  <c r="K219" i="2"/>
  <c r="M219" i="2"/>
  <c r="L1445" i="2"/>
  <c r="Q1445" i="2" s="1"/>
  <c r="M1445" i="2"/>
  <c r="K1066" i="2"/>
  <c r="O1066" i="2" s="1"/>
  <c r="M1066" i="2"/>
  <c r="K1508" i="2"/>
  <c r="M1508" i="2"/>
  <c r="L1628" i="2"/>
  <c r="Q1628" i="2" s="1"/>
  <c r="M1628" i="2"/>
  <c r="K1563" i="2"/>
  <c r="M1563" i="2"/>
  <c r="K1594" i="2"/>
  <c r="M1594" i="2"/>
  <c r="K1498" i="2"/>
  <c r="M1498" i="2"/>
  <c r="K1370" i="2"/>
  <c r="M1370" i="2"/>
  <c r="K1247" i="2"/>
  <c r="M1247" i="2"/>
  <c r="K1119" i="2"/>
  <c r="M1119" i="2"/>
  <c r="K1023" i="2"/>
  <c r="M1023" i="2"/>
  <c r="K845" i="2"/>
  <c r="M845" i="2"/>
  <c r="K781" i="2"/>
  <c r="M781" i="2"/>
  <c r="K557" i="2"/>
  <c r="M557" i="2"/>
  <c r="K83" i="2"/>
  <c r="M83" i="2"/>
  <c r="L1625" i="2"/>
  <c r="Q1625" i="2" s="1"/>
  <c r="M1625" i="2"/>
  <c r="K1278" i="2"/>
  <c r="M1278" i="2"/>
  <c r="K10" i="2"/>
  <c r="M10" i="2"/>
  <c r="K1496" i="2"/>
  <c r="M1496" i="2"/>
  <c r="K1277" i="2"/>
  <c r="M1277" i="2"/>
  <c r="K1213" i="2"/>
  <c r="M1213" i="2"/>
  <c r="K1149" i="2"/>
  <c r="M1149" i="2"/>
  <c r="K1053" i="2"/>
  <c r="M1053" i="2"/>
  <c r="K989" i="2"/>
  <c r="M989" i="2"/>
  <c r="K925" i="2"/>
  <c r="M925" i="2"/>
  <c r="K875" i="2"/>
  <c r="M875" i="2"/>
  <c r="K843" i="2"/>
  <c r="M843" i="2"/>
  <c r="K811" i="2"/>
  <c r="M811" i="2"/>
  <c r="K747" i="2"/>
  <c r="M747" i="2"/>
  <c r="K683" i="2"/>
  <c r="M683" i="2"/>
  <c r="K619" i="2"/>
  <c r="M619" i="2"/>
  <c r="K491" i="2"/>
  <c r="O491" i="2" s="1"/>
  <c r="M491" i="2"/>
  <c r="K363" i="2"/>
  <c r="M363" i="2"/>
  <c r="K1604" i="2"/>
  <c r="M1604" i="2"/>
  <c r="L1225" i="2"/>
  <c r="Q1225" i="2" s="1"/>
  <c r="M1225" i="2"/>
  <c r="L1632" i="2"/>
  <c r="Q1632" i="2" s="1"/>
  <c r="M1632" i="2"/>
  <c r="L1472" i="2"/>
  <c r="Q1472" i="2" s="1"/>
  <c r="M1472" i="2"/>
  <c r="K1253" i="2"/>
  <c r="M1253" i="2"/>
  <c r="K1061" i="2"/>
  <c r="M1061" i="2"/>
  <c r="K933" i="2"/>
  <c r="M933" i="2"/>
  <c r="K787" i="2"/>
  <c r="M787" i="2"/>
  <c r="L659" i="2"/>
  <c r="Q659" i="2" s="1"/>
  <c r="M659" i="2"/>
  <c r="K403" i="2"/>
  <c r="M403" i="2"/>
  <c r="K1596" i="2"/>
  <c r="O1596" i="2" s="1"/>
  <c r="M1596" i="2"/>
  <c r="L1691" i="2"/>
  <c r="Q1691" i="2" s="1"/>
  <c r="M1691" i="2"/>
  <c r="K1531" i="2"/>
  <c r="M1531" i="2"/>
  <c r="K1658" i="2"/>
  <c r="M1658" i="2"/>
  <c r="K1562" i="2"/>
  <c r="M1562" i="2"/>
  <c r="K1466" i="2"/>
  <c r="M1466" i="2"/>
  <c r="K1434" i="2"/>
  <c r="M1434" i="2"/>
  <c r="K1402" i="2"/>
  <c r="M1402" i="2"/>
  <c r="K1279" i="2"/>
  <c r="M1279" i="2"/>
  <c r="K1215" i="2"/>
  <c r="O1215" i="2" s="1"/>
  <c r="M1215" i="2"/>
  <c r="K1151" i="2"/>
  <c r="O1151" i="2" s="1"/>
  <c r="M1151" i="2"/>
  <c r="K1055" i="2"/>
  <c r="M1055" i="2"/>
  <c r="K959" i="2"/>
  <c r="M959" i="2"/>
  <c r="K813" i="2"/>
  <c r="M813" i="2"/>
  <c r="K653" i="2"/>
  <c r="O653" i="2" s="1"/>
  <c r="M653" i="2"/>
  <c r="K589" i="2"/>
  <c r="M589" i="2"/>
  <c r="K397" i="2"/>
  <c r="M397" i="2"/>
  <c r="K301" i="2"/>
  <c r="M301" i="2"/>
  <c r="K1657" i="2"/>
  <c r="M1657" i="2"/>
  <c r="L1529" i="2"/>
  <c r="Q1529" i="2" s="1"/>
  <c r="M1529" i="2"/>
  <c r="K1433" i="2"/>
  <c r="M1433" i="2"/>
  <c r="K1310" i="2"/>
  <c r="M1310" i="2"/>
  <c r="L1214" i="2"/>
  <c r="Q1214" i="2" s="1"/>
  <c r="M1214" i="2"/>
  <c r="K1688" i="2"/>
  <c r="M1688" i="2"/>
  <c r="K1624" i="2"/>
  <c r="O1624" i="2" s="1"/>
  <c r="M1624" i="2"/>
  <c r="K1560" i="2"/>
  <c r="M1560" i="2"/>
  <c r="K1464" i="2"/>
  <c r="O1464" i="2" s="1"/>
  <c r="M1464" i="2"/>
  <c r="K1432" i="2"/>
  <c r="M1432" i="2"/>
  <c r="K1400" i="2"/>
  <c r="M1400" i="2"/>
  <c r="K1368" i="2"/>
  <c r="O1368" i="2" s="1"/>
  <c r="M1368" i="2"/>
  <c r="K1245" i="2"/>
  <c r="O1245" i="2" s="1"/>
  <c r="M1245" i="2"/>
  <c r="K1181" i="2"/>
  <c r="M1181" i="2"/>
  <c r="K1085" i="2"/>
  <c r="M1085" i="2"/>
  <c r="K957" i="2"/>
  <c r="M957" i="2"/>
  <c r="L1172" i="2"/>
  <c r="K758" i="2"/>
  <c r="K654" i="2"/>
  <c r="K269" i="2"/>
  <c r="K1687" i="2"/>
  <c r="M1687" i="2"/>
  <c r="K1655" i="2"/>
  <c r="M1655" i="2"/>
  <c r="K1623" i="2"/>
  <c r="M1623" i="2"/>
  <c r="K1591" i="2"/>
  <c r="M1591" i="2"/>
  <c r="K1559" i="2"/>
  <c r="M1559" i="2"/>
  <c r="K1527" i="2"/>
  <c r="M1527" i="2"/>
  <c r="K1495" i="2"/>
  <c r="M1495" i="2"/>
  <c r="K1463" i="2"/>
  <c r="M1463" i="2"/>
  <c r="K1431" i="2"/>
  <c r="M1431" i="2"/>
  <c r="K1399" i="2"/>
  <c r="M1399" i="2"/>
  <c r="K1367" i="2"/>
  <c r="M1367" i="2"/>
  <c r="K1308" i="2"/>
  <c r="M1308" i="2"/>
  <c r="K1276" i="2"/>
  <c r="M1276" i="2"/>
  <c r="K1244" i="2"/>
  <c r="O1244" i="2" s="1"/>
  <c r="M1244" i="2"/>
  <c r="K1212" i="2"/>
  <c r="M1212" i="2"/>
  <c r="K1180" i="2"/>
  <c r="M1180" i="2"/>
  <c r="K1148" i="2"/>
  <c r="M1148" i="2"/>
  <c r="K1116" i="2"/>
  <c r="M1116" i="2"/>
  <c r="K1084" i="2"/>
  <c r="M1084" i="2"/>
  <c r="K1052" i="2"/>
  <c r="M1052" i="2"/>
  <c r="K1020" i="2"/>
  <c r="M1020" i="2"/>
  <c r="K988" i="2"/>
  <c r="O988" i="2" s="1"/>
  <c r="M988" i="2"/>
  <c r="K956" i="2"/>
  <c r="M956" i="2"/>
  <c r="K924" i="2"/>
  <c r="M924" i="2"/>
  <c r="K874" i="2"/>
  <c r="M874" i="2"/>
  <c r="K810" i="2"/>
  <c r="M810" i="2"/>
  <c r="K746" i="2"/>
  <c r="M746" i="2"/>
  <c r="K714" i="2"/>
  <c r="M714" i="2"/>
  <c r="K682" i="2"/>
  <c r="M682" i="2"/>
  <c r="K650" i="2"/>
  <c r="M650" i="2"/>
  <c r="K618" i="2"/>
  <c r="M618" i="2"/>
  <c r="K586" i="2"/>
  <c r="M586" i="2"/>
  <c r="K554" i="2"/>
  <c r="M554" i="2"/>
  <c r="K522" i="2"/>
  <c r="M522" i="2"/>
  <c r="K490" i="2"/>
  <c r="M490" i="2"/>
  <c r="K458" i="2"/>
  <c r="O458" i="2" s="1"/>
  <c r="M458" i="2"/>
  <c r="K426" i="2"/>
  <c r="M426" i="2"/>
  <c r="K362" i="2"/>
  <c r="M362" i="2"/>
  <c r="K170" i="2"/>
  <c r="M170" i="2"/>
  <c r="L1513" i="2"/>
  <c r="Q1513" i="2" s="1"/>
  <c r="M1513" i="2"/>
  <c r="K1262" i="2"/>
  <c r="M1262" i="2"/>
  <c r="K1070" i="2"/>
  <c r="M1070" i="2"/>
  <c r="L796" i="2"/>
  <c r="Q796" i="2" s="1"/>
  <c r="M796" i="2"/>
  <c r="K604" i="2"/>
  <c r="M604" i="2"/>
  <c r="K348" i="2"/>
  <c r="M348" i="2"/>
  <c r="K66" i="2"/>
  <c r="M66" i="2"/>
  <c r="K1576" i="2"/>
  <c r="M1576" i="2"/>
  <c r="L1480" i="2"/>
  <c r="Q1480" i="2" s="1"/>
  <c r="M1480" i="2"/>
  <c r="L1229" i="2"/>
  <c r="Q1229" i="2" s="1"/>
  <c r="M1229" i="2"/>
  <c r="K1069" i="2"/>
  <c r="M1069" i="2"/>
  <c r="L795" i="2"/>
  <c r="Q795" i="2" s="1"/>
  <c r="M795" i="2"/>
  <c r="K571" i="2"/>
  <c r="M571" i="2"/>
  <c r="K443" i="2"/>
  <c r="M443" i="2"/>
  <c r="K315" i="2"/>
  <c r="M315" i="2"/>
  <c r="K65" i="2"/>
  <c r="M65" i="2"/>
  <c r="K1605" i="2"/>
  <c r="M1605" i="2"/>
  <c r="K1290" i="2"/>
  <c r="M1290" i="2"/>
  <c r="K1194" i="2"/>
  <c r="M1194" i="2"/>
  <c r="K1002" i="2"/>
  <c r="M1002" i="2"/>
  <c r="L1636" i="2"/>
  <c r="Q1636" i="2" s="1"/>
  <c r="M1636" i="2"/>
  <c r="K1540" i="2"/>
  <c r="M1540" i="2"/>
  <c r="K1476" i="2"/>
  <c r="M1476" i="2"/>
  <c r="K1257" i="2"/>
  <c r="M1257" i="2"/>
  <c r="K1600" i="2"/>
  <c r="M1600" i="2"/>
  <c r="K1440" i="2"/>
  <c r="O1440" i="2" s="1"/>
  <c r="M1440" i="2"/>
  <c r="K1285" i="2"/>
  <c r="M1285" i="2"/>
  <c r="K1093" i="2"/>
  <c r="M1093" i="2"/>
  <c r="K965" i="2"/>
  <c r="M965" i="2"/>
  <c r="K723" i="2"/>
  <c r="M723" i="2"/>
  <c r="L467" i="2"/>
  <c r="Q467" i="2" s="1"/>
  <c r="M467" i="2"/>
  <c r="K371" i="2"/>
  <c r="M371" i="2"/>
  <c r="L115" i="2"/>
  <c r="Q115" i="2" s="1"/>
  <c r="M115" i="2"/>
  <c r="K1660" i="2"/>
  <c r="O1660" i="2" s="1"/>
  <c r="M1660" i="2"/>
  <c r="K1659" i="2"/>
  <c r="O1659" i="2" s="1"/>
  <c r="M1659" i="2"/>
  <c r="K1595" i="2"/>
  <c r="M1595" i="2"/>
  <c r="K1690" i="2"/>
  <c r="M1690" i="2"/>
  <c r="K1626" i="2"/>
  <c r="M1626" i="2"/>
  <c r="K1530" i="2"/>
  <c r="M1530" i="2"/>
  <c r="K1311" i="2"/>
  <c r="M1311" i="2"/>
  <c r="K1183" i="2"/>
  <c r="M1183" i="2"/>
  <c r="K1087" i="2"/>
  <c r="M1087" i="2"/>
  <c r="K991" i="2"/>
  <c r="M991" i="2"/>
  <c r="K927" i="2"/>
  <c r="M927" i="2"/>
  <c r="K749" i="2"/>
  <c r="M749" i="2"/>
  <c r="K685" i="2"/>
  <c r="M685" i="2"/>
  <c r="K525" i="2"/>
  <c r="M525" i="2"/>
  <c r="K1689" i="2"/>
  <c r="M1689" i="2"/>
  <c r="K1561" i="2"/>
  <c r="M1561" i="2"/>
  <c r="K1497" i="2"/>
  <c r="M1497" i="2"/>
  <c r="L1401" i="2"/>
  <c r="Q1401" i="2" s="1"/>
  <c r="M1401" i="2"/>
  <c r="K1246" i="2"/>
  <c r="O1246" i="2" s="1"/>
  <c r="M1246" i="2"/>
  <c r="K429" i="2"/>
  <c r="K1656" i="2"/>
  <c r="M1656" i="2"/>
  <c r="K1592" i="2"/>
  <c r="M1592" i="2"/>
  <c r="K1528" i="2"/>
  <c r="M1528" i="2"/>
  <c r="K1309" i="2"/>
  <c r="M1309" i="2"/>
  <c r="L1171" i="2"/>
  <c r="Q1171" i="2" s="1"/>
  <c r="K754" i="2"/>
  <c r="K1718" i="2"/>
  <c r="M1718" i="2"/>
  <c r="K1686" i="2"/>
  <c r="M1686" i="2"/>
  <c r="K1654" i="2"/>
  <c r="M1654" i="2"/>
  <c r="K1622" i="2"/>
  <c r="M1622" i="2"/>
  <c r="K1590" i="2"/>
  <c r="M1590" i="2"/>
  <c r="K1558" i="2"/>
  <c r="O1558" i="2" s="1"/>
  <c r="M1558" i="2"/>
  <c r="K1526" i="2"/>
  <c r="M1526" i="2"/>
  <c r="K1494" i="2"/>
  <c r="M1494" i="2"/>
  <c r="K1462" i="2"/>
  <c r="M1462" i="2"/>
  <c r="K1430" i="2"/>
  <c r="M1430" i="2"/>
  <c r="K1398" i="2"/>
  <c r="M1398" i="2"/>
  <c r="K1366" i="2"/>
  <c r="M1366" i="2"/>
  <c r="K1307" i="2"/>
  <c r="M1307" i="2"/>
  <c r="K1275" i="2"/>
  <c r="M1275" i="2"/>
  <c r="K1243" i="2"/>
  <c r="M1243" i="2"/>
  <c r="K1211" i="2"/>
  <c r="M1211" i="2"/>
  <c r="K1179" i="2"/>
  <c r="M1179" i="2"/>
  <c r="K1147" i="2"/>
  <c r="M1147" i="2"/>
  <c r="K1115" i="2"/>
  <c r="M1115" i="2"/>
  <c r="K1051" i="2"/>
  <c r="O1051" i="2" s="1"/>
  <c r="M1051" i="2"/>
  <c r="K1019" i="2"/>
  <c r="M1019" i="2"/>
  <c r="K955" i="2"/>
  <c r="M955" i="2"/>
  <c r="K923" i="2"/>
  <c r="M923" i="2"/>
  <c r="K873" i="2"/>
  <c r="M873" i="2"/>
  <c r="K809" i="2"/>
  <c r="M809" i="2"/>
  <c r="K745" i="2"/>
  <c r="M745" i="2"/>
  <c r="K553" i="2"/>
  <c r="M553" i="2"/>
  <c r="K233" i="2"/>
  <c r="M233" i="2"/>
  <c r="K1717" i="2"/>
  <c r="M1717" i="2"/>
  <c r="K1685" i="2"/>
  <c r="M1685" i="2"/>
  <c r="K1653" i="2"/>
  <c r="M1653" i="2"/>
  <c r="K1621" i="2"/>
  <c r="O1621" i="2" s="1"/>
  <c r="M1621" i="2"/>
  <c r="K1589" i="2"/>
  <c r="M1589" i="2"/>
  <c r="K1557" i="2"/>
  <c r="M1557" i="2"/>
  <c r="K1525" i="2"/>
  <c r="M1525" i="2"/>
  <c r="K1493" i="2"/>
  <c r="M1493" i="2"/>
  <c r="K1461" i="2"/>
  <c r="M1461" i="2"/>
  <c r="K1429" i="2"/>
  <c r="M1429" i="2"/>
  <c r="K1397" i="2"/>
  <c r="O1397" i="2" s="1"/>
  <c r="M1397" i="2"/>
  <c r="K1365" i="2"/>
  <c r="M1365" i="2"/>
  <c r="K1306" i="2"/>
  <c r="M1306" i="2"/>
  <c r="K1274" i="2"/>
  <c r="M1274" i="2"/>
  <c r="K1242" i="2"/>
  <c r="M1242" i="2"/>
  <c r="K1210" i="2"/>
  <c r="O1210" i="2" s="1"/>
  <c r="M1210" i="2"/>
  <c r="K1178" i="2"/>
  <c r="M1178" i="2"/>
  <c r="K1146" i="2"/>
  <c r="M1146" i="2"/>
  <c r="K1114" i="2"/>
  <c r="M1114" i="2"/>
  <c r="K1082" i="2"/>
  <c r="M1082" i="2"/>
  <c r="L1050" i="2"/>
  <c r="Q1050" i="2" s="1"/>
  <c r="M1050" i="2"/>
  <c r="K1018" i="2"/>
  <c r="M1018" i="2"/>
  <c r="K986" i="2"/>
  <c r="M986" i="2"/>
  <c r="K922" i="2"/>
  <c r="M922" i="2"/>
  <c r="K872" i="2"/>
  <c r="M872" i="2"/>
  <c r="K776" i="2"/>
  <c r="M776" i="2"/>
  <c r="K712" i="2"/>
  <c r="O712" i="2" s="1"/>
  <c r="Q712" i="2" s="1"/>
  <c r="M712" i="2"/>
  <c r="K616" i="2"/>
  <c r="M616" i="2"/>
  <c r="K1716" i="2"/>
  <c r="M1716" i="2"/>
  <c r="K1684" i="2"/>
  <c r="M1684" i="2"/>
  <c r="K1652" i="2"/>
  <c r="M1652" i="2"/>
  <c r="K1620" i="2"/>
  <c r="M1620" i="2"/>
  <c r="K1588" i="2"/>
  <c r="M1588" i="2"/>
  <c r="K1556" i="2"/>
  <c r="O1556" i="2" s="1"/>
  <c r="M1556" i="2"/>
  <c r="K1524" i="2"/>
  <c r="M1524" i="2"/>
  <c r="K1492" i="2"/>
  <c r="M1492" i="2"/>
  <c r="K1460" i="2"/>
  <c r="O1460" i="2" s="1"/>
  <c r="M1460" i="2"/>
  <c r="K1428" i="2"/>
  <c r="M1428" i="2"/>
  <c r="K1396" i="2"/>
  <c r="M1396" i="2"/>
  <c r="K1364" i="2"/>
  <c r="M1364" i="2"/>
  <c r="K1305" i="2"/>
  <c r="M1305" i="2"/>
  <c r="K1273" i="2"/>
  <c r="M1273" i="2"/>
  <c r="K1241" i="2"/>
  <c r="M1241" i="2"/>
  <c r="K1209" i="2"/>
  <c r="O1209" i="2" s="1"/>
  <c r="M1209" i="2"/>
  <c r="K1177" i="2"/>
  <c r="M1177" i="2"/>
  <c r="K1145" i="2"/>
  <c r="M1145" i="2"/>
  <c r="K1113" i="2"/>
  <c r="M1113" i="2"/>
  <c r="K1049" i="2"/>
  <c r="M1049" i="2"/>
  <c r="K1017" i="2"/>
  <c r="M1017" i="2"/>
  <c r="K985" i="2"/>
  <c r="M985" i="2"/>
  <c r="K953" i="2"/>
  <c r="M953" i="2"/>
  <c r="K921" i="2"/>
  <c r="M921" i="2"/>
  <c r="K839" i="2"/>
  <c r="M839" i="2"/>
  <c r="K807" i="2"/>
  <c r="M807" i="2"/>
  <c r="L1715" i="2"/>
  <c r="Q1715" i="2" s="1"/>
  <c r="M1715" i="2"/>
  <c r="K1683" i="2"/>
  <c r="M1683" i="2"/>
  <c r="L1651" i="2"/>
  <c r="Q1651" i="2" s="1"/>
  <c r="M1651" i="2"/>
  <c r="L1619" i="2"/>
  <c r="Q1619" i="2" s="1"/>
  <c r="M1619" i="2"/>
  <c r="K1587" i="2"/>
  <c r="M1587" i="2"/>
  <c r="L1555" i="2"/>
  <c r="Q1555" i="2" s="1"/>
  <c r="M1555" i="2"/>
  <c r="L1523" i="2"/>
  <c r="M1523" i="2"/>
  <c r="K1491" i="2"/>
  <c r="M1491" i="2"/>
  <c r="L1459" i="2"/>
  <c r="Q1459" i="2" s="1"/>
  <c r="M1459" i="2"/>
  <c r="K1427" i="2"/>
  <c r="M1427" i="2"/>
  <c r="L1395" i="2"/>
  <c r="Q1395" i="2" s="1"/>
  <c r="M1395" i="2"/>
  <c r="K1363" i="2"/>
  <c r="M1363" i="2"/>
  <c r="K1304" i="2"/>
  <c r="M1304" i="2"/>
  <c r="K1272" i="2"/>
  <c r="M1272" i="2"/>
  <c r="K1240" i="2"/>
  <c r="M1240" i="2"/>
  <c r="K1208" i="2"/>
  <c r="M1208" i="2"/>
  <c r="K1176" i="2"/>
  <c r="M1176" i="2"/>
  <c r="K1144" i="2"/>
  <c r="M1144" i="2"/>
  <c r="K1112" i="2"/>
  <c r="M1112" i="2"/>
  <c r="L1080" i="2"/>
  <c r="Q1080" i="2" s="1"/>
  <c r="M1080" i="2"/>
  <c r="K1048" i="2"/>
  <c r="M1048" i="2"/>
  <c r="L1016" i="2"/>
  <c r="Q1016" i="2" s="1"/>
  <c r="M1016" i="2"/>
  <c r="L984" i="2"/>
  <c r="Q984" i="2" s="1"/>
  <c r="M984" i="2"/>
  <c r="K952" i="2"/>
  <c r="M952" i="2"/>
  <c r="K920" i="2"/>
  <c r="M920" i="2"/>
  <c r="K870" i="2"/>
  <c r="M870" i="2"/>
  <c r="K838" i="2"/>
  <c r="M838" i="2"/>
  <c r="K806" i="2"/>
  <c r="M806" i="2"/>
  <c r="K774" i="2"/>
  <c r="M774" i="2"/>
  <c r="L742" i="2"/>
  <c r="Q742" i="2" s="1"/>
  <c r="M742" i="2"/>
  <c r="K710" i="2"/>
  <c r="M710" i="2"/>
  <c r="K678" i="2"/>
  <c r="M678" i="2"/>
  <c r="L646" i="2"/>
  <c r="Q646" i="2" s="1"/>
  <c r="M646" i="2"/>
  <c r="K614" i="2"/>
  <c r="M614" i="2"/>
  <c r="K582" i="2"/>
  <c r="M582" i="2"/>
  <c r="L1714" i="2"/>
  <c r="Q1714" i="2" s="1"/>
  <c r="M1714" i="2"/>
  <c r="K1682" i="2"/>
  <c r="M1682" i="2"/>
  <c r="K1650" i="2"/>
  <c r="M1650" i="2"/>
  <c r="L1586" i="2"/>
  <c r="Q1586" i="2" s="1"/>
  <c r="M1586" i="2"/>
  <c r="L1554" i="2"/>
  <c r="Q1554" i="2" s="1"/>
  <c r="M1554" i="2"/>
  <c r="L1522" i="2"/>
  <c r="Q1522" i="2" s="1"/>
  <c r="M1522" i="2"/>
  <c r="K1490" i="2"/>
  <c r="M1490" i="2"/>
  <c r="K1458" i="2"/>
  <c r="M1458" i="2"/>
  <c r="K1426" i="2"/>
  <c r="M1426" i="2"/>
  <c r="L1394" i="2"/>
  <c r="Q1394" i="2" s="1"/>
  <c r="M1394" i="2"/>
  <c r="K1362" i="2"/>
  <c r="M1362" i="2"/>
  <c r="K1303" i="2"/>
  <c r="M1303" i="2"/>
  <c r="K1271" i="2"/>
  <c r="M1271" i="2"/>
  <c r="K1239" i="2"/>
  <c r="M1239" i="2"/>
  <c r="K1207" i="2"/>
  <c r="M1207" i="2"/>
  <c r="K1175" i="2"/>
  <c r="M1175" i="2"/>
  <c r="K1143" i="2"/>
  <c r="M1143" i="2"/>
  <c r="K1111" i="2"/>
  <c r="M1111" i="2"/>
  <c r="K1047" i="2"/>
  <c r="O1047" i="2" s="1"/>
  <c r="M1047" i="2"/>
  <c r="L1015" i="2"/>
  <c r="Q1015" i="2" s="1"/>
  <c r="M1015" i="2"/>
  <c r="L983" i="2"/>
  <c r="Q983" i="2" s="1"/>
  <c r="M983" i="2"/>
  <c r="K951" i="2"/>
  <c r="M951" i="2"/>
  <c r="L1713" i="2"/>
  <c r="Q1713" i="2" s="1"/>
  <c r="M1713" i="2"/>
  <c r="K1681" i="2"/>
  <c r="M1681" i="2"/>
  <c r="K1649" i="2"/>
  <c r="M1649" i="2"/>
  <c r="L1553" i="2"/>
  <c r="Q1553" i="2" s="1"/>
  <c r="M1553" i="2"/>
  <c r="L1521" i="2"/>
  <c r="Q1521" i="2" s="1"/>
  <c r="M1521" i="2"/>
  <c r="L1489" i="2"/>
  <c r="Q1489" i="2" s="1"/>
  <c r="M1489" i="2"/>
  <c r="K1457" i="2"/>
  <c r="O1457" i="2" s="1"/>
  <c r="M1457" i="2"/>
  <c r="K1425" i="2"/>
  <c r="M1425" i="2"/>
  <c r="L1361" i="2"/>
  <c r="Q1361" i="2" s="1"/>
  <c r="M1361" i="2"/>
  <c r="L1302" i="2"/>
  <c r="Q1302" i="2" s="1"/>
  <c r="M1302" i="2"/>
  <c r="L1174" i="2"/>
  <c r="Q1174" i="2" s="1"/>
  <c r="M1174" i="2"/>
  <c r="L1142" i="2"/>
  <c r="Q1142" i="2" s="1"/>
  <c r="M1142" i="2"/>
  <c r="L1110" i="2"/>
  <c r="Q1110" i="2" s="1"/>
  <c r="M1110" i="2"/>
  <c r="L1014" i="2"/>
  <c r="Q1014" i="2" s="1"/>
  <c r="M1014" i="2"/>
  <c r="L982" i="2"/>
  <c r="Q982" i="2" s="1"/>
  <c r="M982" i="2"/>
  <c r="K950" i="2"/>
  <c r="M950" i="2"/>
  <c r="K918" i="2"/>
  <c r="M918" i="2"/>
  <c r="K868" i="2"/>
  <c r="M868" i="2"/>
  <c r="K836" i="2"/>
  <c r="M836" i="2"/>
  <c r="L772" i="2"/>
  <c r="Q772" i="2" s="1"/>
  <c r="M772" i="2"/>
  <c r="K740" i="2"/>
  <c r="M740" i="2"/>
  <c r="K708" i="2"/>
  <c r="M708" i="2"/>
  <c r="L676" i="2"/>
  <c r="Q676" i="2" s="1"/>
  <c r="M676" i="2"/>
  <c r="K612" i="2"/>
  <c r="M612" i="2"/>
  <c r="K548" i="2"/>
  <c r="M548" i="2"/>
  <c r="K516" i="2"/>
  <c r="M516" i="2"/>
  <c r="K452" i="2"/>
  <c r="M452" i="2"/>
  <c r="K356" i="2"/>
  <c r="M356" i="2"/>
  <c r="L324" i="2"/>
  <c r="Q324" i="2" s="1"/>
  <c r="M324" i="2"/>
  <c r="K292" i="2"/>
  <c r="M292" i="2"/>
  <c r="L228" i="2"/>
  <c r="Q228" i="2" s="1"/>
  <c r="M228" i="2"/>
  <c r="K196" i="2"/>
  <c r="O196" i="2" s="1"/>
  <c r="M196" i="2"/>
  <c r="K100" i="2"/>
  <c r="M100" i="2"/>
  <c r="L1712" i="2"/>
  <c r="Q1712" i="2" s="1"/>
  <c r="M1712" i="2"/>
  <c r="K1680" i="2"/>
  <c r="M1680" i="2"/>
  <c r="K1648" i="2"/>
  <c r="M1648" i="2"/>
  <c r="L1616" i="2"/>
  <c r="Q1616" i="2" s="1"/>
  <c r="M1616" i="2"/>
  <c r="K1584" i="2"/>
  <c r="M1584" i="2"/>
  <c r="L1552" i="2"/>
  <c r="Q1552" i="2" s="1"/>
  <c r="M1552" i="2"/>
  <c r="L1520" i="2"/>
  <c r="M1520" i="2"/>
  <c r="L1488" i="2"/>
  <c r="Q1488" i="2" s="1"/>
  <c r="M1488" i="2"/>
  <c r="K1456" i="2"/>
  <c r="M1456" i="2"/>
  <c r="K1424" i="2"/>
  <c r="M1424" i="2"/>
  <c r="K1392" i="2"/>
  <c r="M1392" i="2"/>
  <c r="K1360" i="2"/>
  <c r="M1360" i="2"/>
  <c r="L1301" i="2"/>
  <c r="Q1301" i="2" s="1"/>
  <c r="M1301" i="2"/>
  <c r="K1269" i="2"/>
  <c r="M1269" i="2"/>
  <c r="K1237" i="2"/>
  <c r="M1237" i="2"/>
  <c r="K1205" i="2"/>
  <c r="M1205" i="2"/>
  <c r="K1173" i="2"/>
  <c r="O1173" i="2" s="1"/>
  <c r="M1173" i="2"/>
  <c r="K1141" i="2"/>
  <c r="M1141" i="2"/>
  <c r="K1109" i="2"/>
  <c r="M1109" i="2"/>
  <c r="K1045" i="2"/>
  <c r="M1045" i="2"/>
  <c r="L981" i="2"/>
  <c r="Q981" i="2" s="1"/>
  <c r="M981" i="2"/>
  <c r="K867" i="2"/>
  <c r="M867" i="2"/>
  <c r="K803" i="2"/>
  <c r="M803" i="2"/>
  <c r="K195" i="2"/>
  <c r="M195" i="2"/>
  <c r="L1711" i="2"/>
  <c r="Q1711" i="2" s="1"/>
  <c r="M1711" i="2"/>
  <c r="L1679" i="2"/>
  <c r="Q1679" i="2" s="1"/>
  <c r="M1679" i="2"/>
  <c r="K1647" i="2"/>
  <c r="M1647" i="2"/>
  <c r="K1615" i="2"/>
  <c r="M1615" i="2"/>
  <c r="L1583" i="2"/>
  <c r="Q1583" i="2" s="1"/>
  <c r="M1583" i="2"/>
  <c r="L1551" i="2"/>
  <c r="M1551" i="2"/>
  <c r="L1519" i="2"/>
  <c r="Q1519" i="2" s="1"/>
  <c r="M1519" i="2"/>
  <c r="L1487" i="2"/>
  <c r="Q1487" i="2" s="1"/>
  <c r="M1487" i="2"/>
  <c r="L1359" i="2"/>
  <c r="Q1359" i="2" s="1"/>
  <c r="M1359" i="2"/>
  <c r="L1300" i="2"/>
  <c r="Q1300" i="2" s="1"/>
  <c r="M1300" i="2"/>
  <c r="L1268" i="2"/>
  <c r="Q1268" i="2" s="1"/>
  <c r="M1268" i="2"/>
  <c r="L1140" i="2"/>
  <c r="Q1140" i="2" s="1"/>
  <c r="M1140" i="2"/>
  <c r="L1108" i="2"/>
  <c r="Q1108" i="2" s="1"/>
  <c r="M1108" i="2"/>
  <c r="L980" i="2"/>
  <c r="Q980" i="2" s="1"/>
  <c r="M980" i="2"/>
  <c r="L738" i="2"/>
  <c r="Q738" i="2" s="1"/>
  <c r="M738" i="2"/>
  <c r="L1710" i="2"/>
  <c r="Q1710" i="2" s="1"/>
  <c r="M1710" i="2"/>
  <c r="L1678" i="2"/>
  <c r="Q1678" i="2" s="1"/>
  <c r="M1678" i="2"/>
  <c r="K1646" i="2"/>
  <c r="M1646" i="2"/>
  <c r="L1614" i="2"/>
  <c r="Q1614" i="2" s="1"/>
  <c r="M1614" i="2"/>
  <c r="L1582" i="2"/>
  <c r="Q1582" i="2" s="1"/>
  <c r="M1582" i="2"/>
  <c r="L1550" i="2"/>
  <c r="Q1550" i="2" s="1"/>
  <c r="M1550" i="2"/>
  <c r="L1518" i="2"/>
  <c r="Q1518" i="2" s="1"/>
  <c r="M1518" i="2"/>
  <c r="L1486" i="2"/>
  <c r="Q1486" i="2" s="1"/>
  <c r="M1486" i="2"/>
  <c r="K1454" i="2"/>
  <c r="M1454" i="2"/>
  <c r="K1422" i="2"/>
  <c r="M1422" i="2"/>
  <c r="L1390" i="2"/>
  <c r="Q1390" i="2" s="1"/>
  <c r="M1390" i="2"/>
  <c r="K1358" i="2"/>
  <c r="O1358" i="2" s="1"/>
  <c r="M1358" i="2"/>
  <c r="L1299" i="2"/>
  <c r="Q1299" i="2" s="1"/>
  <c r="M1299" i="2"/>
  <c r="K1267" i="2"/>
  <c r="O1267" i="2" s="1"/>
  <c r="M1267" i="2"/>
  <c r="K1235" i="2"/>
  <c r="M1235" i="2"/>
  <c r="K1203" i="2"/>
  <c r="M1203" i="2"/>
  <c r="K1139" i="2"/>
  <c r="M1139" i="2"/>
  <c r="L1107" i="2"/>
  <c r="Q1107" i="2" s="1"/>
  <c r="M1107" i="2"/>
  <c r="K1075" i="2"/>
  <c r="O1075" i="2" s="1"/>
  <c r="M1075" i="2"/>
  <c r="L979" i="2"/>
  <c r="Q979" i="2" s="1"/>
  <c r="M979" i="2"/>
  <c r="K915" i="2"/>
  <c r="M915" i="2"/>
  <c r="K865" i="2"/>
  <c r="M865" i="2"/>
  <c r="K737" i="2"/>
  <c r="M737" i="2"/>
  <c r="K577" i="2"/>
  <c r="M577" i="2"/>
  <c r="K1709" i="2"/>
  <c r="M1709" i="2"/>
  <c r="L1677" i="2"/>
  <c r="Q1677" i="2" s="1"/>
  <c r="M1677" i="2"/>
  <c r="L1645" i="2"/>
  <c r="Q1645" i="2" s="1"/>
  <c r="M1645" i="2"/>
  <c r="L1613" i="2"/>
  <c r="Q1613" i="2" s="1"/>
  <c r="M1613" i="2"/>
  <c r="L1581" i="2"/>
  <c r="Q1581" i="2" s="1"/>
  <c r="M1581" i="2"/>
  <c r="L1549" i="2"/>
  <c r="Q1549" i="2" s="1"/>
  <c r="M1549" i="2"/>
  <c r="L1517" i="2"/>
  <c r="Q1517" i="2" s="1"/>
  <c r="M1517" i="2"/>
  <c r="L1485" i="2"/>
  <c r="Q1485" i="2" s="1"/>
  <c r="M1485" i="2"/>
  <c r="K1453" i="2"/>
  <c r="M1453" i="2"/>
  <c r="K1421" i="2"/>
  <c r="M1421" i="2"/>
  <c r="K1389" i="2"/>
  <c r="M1389" i="2"/>
  <c r="K1357" i="2"/>
  <c r="O1357" i="2" s="1"/>
  <c r="M1357" i="2"/>
  <c r="L1298" i="2"/>
  <c r="Q1298" i="2" s="1"/>
  <c r="M1298" i="2"/>
  <c r="K1266" i="2"/>
  <c r="M1266" i="2"/>
  <c r="K1234" i="2"/>
  <c r="M1234" i="2"/>
  <c r="K1202" i="2"/>
  <c r="M1202" i="2"/>
  <c r="K1170" i="2"/>
  <c r="M1170" i="2"/>
  <c r="K1138" i="2"/>
  <c r="M1138" i="2"/>
  <c r="K1106" i="2"/>
  <c r="M1106" i="2"/>
  <c r="K1074" i="2"/>
  <c r="M1074" i="2"/>
  <c r="L1042" i="2"/>
  <c r="Q1042" i="2" s="1"/>
  <c r="M1042" i="2"/>
  <c r="K978" i="2"/>
  <c r="M978" i="2"/>
  <c r="L946" i="2"/>
  <c r="Q946" i="2" s="1"/>
  <c r="M946" i="2"/>
  <c r="L914" i="2"/>
  <c r="Q914" i="2" s="1"/>
  <c r="M914" i="2"/>
  <c r="K864" i="2"/>
  <c r="M864" i="2"/>
  <c r="L800" i="2"/>
  <c r="Q800" i="2" s="1"/>
  <c r="M800" i="2"/>
  <c r="K768" i="2"/>
  <c r="O768" i="2" s="1"/>
  <c r="M768" i="2"/>
  <c r="K736" i="2"/>
  <c r="M736" i="2"/>
  <c r="K704" i="2"/>
  <c r="M704" i="2"/>
  <c r="K672" i="2"/>
  <c r="O672" i="2" s="1"/>
  <c r="M672" i="2"/>
  <c r="K608" i="2"/>
  <c r="O608" i="2" s="1"/>
  <c r="M608" i="2"/>
  <c r="K576" i="2"/>
  <c r="M576" i="2"/>
  <c r="K544" i="2"/>
  <c r="M544" i="2"/>
  <c r="K512" i="2"/>
  <c r="M512" i="2"/>
  <c r="K480" i="2"/>
  <c r="M480" i="2"/>
  <c r="K416" i="2"/>
  <c r="M416" i="2"/>
  <c r="K384" i="2"/>
  <c r="M384" i="2"/>
  <c r="K288" i="2"/>
  <c r="O288" i="2" s="1"/>
  <c r="M288" i="2"/>
  <c r="K256" i="2"/>
  <c r="O256" i="2" s="1"/>
  <c r="M256" i="2"/>
  <c r="L224" i="2"/>
  <c r="Q224" i="2" s="1"/>
  <c r="M224" i="2"/>
  <c r="K192" i="2"/>
  <c r="O192" i="2" s="1"/>
  <c r="M192" i="2"/>
  <c r="L160" i="2"/>
  <c r="Q160" i="2" s="1"/>
  <c r="M160" i="2"/>
  <c r="L70" i="2"/>
  <c r="Q70" i="2" s="1"/>
  <c r="M70" i="2"/>
  <c r="K1021" i="2"/>
  <c r="K805" i="2"/>
  <c r="L1708" i="2"/>
  <c r="Q1708" i="2" s="1"/>
  <c r="M1708" i="2"/>
  <c r="L1676" i="2"/>
  <c r="Q1676" i="2" s="1"/>
  <c r="M1676" i="2"/>
  <c r="K1644" i="2"/>
  <c r="M1644" i="2"/>
  <c r="L1612" i="2"/>
  <c r="Q1612" i="2" s="1"/>
  <c r="M1612" i="2"/>
  <c r="K1580" i="2"/>
  <c r="O1580" i="2" s="1"/>
  <c r="M1580" i="2"/>
  <c r="L1548" i="2"/>
  <c r="Q1548" i="2" s="1"/>
  <c r="M1548" i="2"/>
  <c r="L1516" i="2"/>
  <c r="Q1516" i="2" s="1"/>
  <c r="M1516" i="2"/>
  <c r="L1484" i="2"/>
  <c r="Q1484" i="2" s="1"/>
  <c r="M1484" i="2"/>
  <c r="L1452" i="2"/>
  <c r="Q1452" i="2" s="1"/>
  <c r="M1452" i="2"/>
  <c r="K1420" i="2"/>
  <c r="M1420" i="2"/>
  <c r="K1388" i="2"/>
  <c r="M1388" i="2"/>
  <c r="K1356" i="2"/>
  <c r="M1356" i="2"/>
  <c r="L1297" i="2"/>
  <c r="Q1297" i="2" s="1"/>
  <c r="M1297" i="2"/>
  <c r="K1265" i="2"/>
  <c r="M1265" i="2"/>
  <c r="K1233" i="2"/>
  <c r="M1233" i="2"/>
  <c r="K1201" i="2"/>
  <c r="M1201" i="2"/>
  <c r="K1169" i="2"/>
  <c r="M1169" i="2"/>
  <c r="K1137" i="2"/>
  <c r="M1137" i="2"/>
  <c r="K1105" i="2"/>
  <c r="M1105" i="2"/>
  <c r="K1073" i="2"/>
  <c r="M1073" i="2"/>
  <c r="K1041" i="2"/>
  <c r="M1041" i="2"/>
  <c r="K1009" i="2"/>
  <c r="M1009" i="2"/>
  <c r="L977" i="2"/>
  <c r="Q977" i="2" s="1"/>
  <c r="M977" i="2"/>
  <c r="K945" i="2"/>
  <c r="M945" i="2"/>
  <c r="L799" i="2"/>
  <c r="Q799" i="2" s="1"/>
  <c r="M799" i="2"/>
  <c r="K735" i="2"/>
  <c r="M735" i="2"/>
  <c r="K575" i="2"/>
  <c r="M575" i="2"/>
  <c r="K543" i="2"/>
  <c r="M543" i="2"/>
  <c r="K479" i="2"/>
  <c r="M479" i="2"/>
  <c r="K447" i="2"/>
  <c r="M447" i="2"/>
  <c r="K37" i="2"/>
  <c r="M37" i="2"/>
  <c r="L1707" i="2"/>
  <c r="Q1707" i="2" s="1"/>
  <c r="M1707" i="2"/>
  <c r="L1675" i="2"/>
  <c r="Q1675" i="2" s="1"/>
  <c r="M1675" i="2"/>
  <c r="K1643" i="2"/>
  <c r="M1643" i="2"/>
  <c r="K1611" i="2"/>
  <c r="M1611" i="2"/>
  <c r="L1579" i="2"/>
  <c r="Q1579" i="2" s="1"/>
  <c r="M1579" i="2"/>
  <c r="K1547" i="2"/>
  <c r="M1547" i="2"/>
  <c r="L1483" i="2"/>
  <c r="Q1483" i="2" s="1"/>
  <c r="M1483" i="2"/>
  <c r="L1451" i="2"/>
  <c r="Q1451" i="2" s="1"/>
  <c r="M1451" i="2"/>
  <c r="K1419" i="2"/>
  <c r="O1419" i="2" s="1"/>
  <c r="M1419" i="2"/>
  <c r="K1387" i="2"/>
  <c r="M1387" i="2"/>
  <c r="K1328" i="2"/>
  <c r="M1328" i="2"/>
  <c r="K1264" i="2"/>
  <c r="M1264" i="2"/>
  <c r="K1232" i="2"/>
  <c r="M1232" i="2"/>
  <c r="K1200" i="2"/>
  <c r="M1200" i="2"/>
  <c r="K1168" i="2"/>
  <c r="M1168" i="2"/>
  <c r="K1104" i="2"/>
  <c r="M1104" i="2"/>
  <c r="K1072" i="2"/>
  <c r="M1072" i="2"/>
  <c r="K1008" i="2"/>
  <c r="M1008" i="2"/>
  <c r="L976" i="2"/>
  <c r="Q976" i="2" s="1"/>
  <c r="M976" i="2"/>
  <c r="K1573" i="2"/>
  <c r="M1573" i="2"/>
  <c r="K1322" i="2"/>
  <c r="M1322" i="2"/>
  <c r="K1130" i="2"/>
  <c r="M1130" i="2"/>
  <c r="K824" i="2"/>
  <c r="M824" i="2"/>
  <c r="K1700" i="2"/>
  <c r="M1700" i="2"/>
  <c r="K1696" i="2"/>
  <c r="M1696" i="2"/>
  <c r="K1011" i="2"/>
  <c r="L801" i="2"/>
  <c r="Q801" i="2" s="1"/>
  <c r="K405" i="2"/>
  <c r="K1706" i="2"/>
  <c r="M1706" i="2"/>
  <c r="L1674" i="2"/>
  <c r="Q1674" i="2" s="1"/>
  <c r="M1674" i="2"/>
  <c r="L1642" i="2"/>
  <c r="Q1642" i="2" s="1"/>
  <c r="M1642" i="2"/>
  <c r="K1610" i="2"/>
  <c r="M1610" i="2"/>
  <c r="L1514" i="2"/>
  <c r="Q1514" i="2" s="1"/>
  <c r="M1514" i="2"/>
  <c r="L1482" i="2"/>
  <c r="Q1482" i="2" s="1"/>
  <c r="M1482" i="2"/>
  <c r="L1450" i="2"/>
  <c r="Q1450" i="2" s="1"/>
  <c r="M1450" i="2"/>
  <c r="K1418" i="2"/>
  <c r="M1418" i="2"/>
  <c r="K1386" i="2"/>
  <c r="M1386" i="2"/>
  <c r="K1327" i="2"/>
  <c r="M1327" i="2"/>
  <c r="K1263" i="2"/>
  <c r="M1263" i="2"/>
  <c r="K1231" i="2"/>
  <c r="M1231" i="2"/>
  <c r="K1199" i="2"/>
  <c r="M1199" i="2"/>
  <c r="L1167" i="2"/>
  <c r="Q1167" i="2" s="1"/>
  <c r="M1167" i="2"/>
  <c r="K1135" i="2"/>
  <c r="M1135" i="2"/>
  <c r="K861" i="2"/>
  <c r="M861" i="2"/>
  <c r="L797" i="2"/>
  <c r="Q797" i="2" s="1"/>
  <c r="M797" i="2"/>
  <c r="K854" i="2"/>
  <c r="K1050" i="2"/>
  <c r="K241" i="2"/>
  <c r="O241" i="2" s="1"/>
  <c r="K1118" i="2"/>
  <c r="L1356" i="2"/>
  <c r="Q1356" i="2" s="1"/>
  <c r="L560" i="2"/>
  <c r="Q560" i="2" s="1"/>
  <c r="K1288" i="2"/>
  <c r="O1288" i="2" s="1"/>
  <c r="K1516" i="2"/>
  <c r="K145" i="2"/>
  <c r="K1220" i="2"/>
  <c r="L1084" i="2"/>
  <c r="Q1084" i="2" s="1"/>
  <c r="K676" i="2"/>
  <c r="L1706" i="2"/>
  <c r="Q1706" i="2" s="1"/>
  <c r="K1483" i="2"/>
  <c r="K1186" i="2"/>
  <c r="K1185" i="2"/>
  <c r="K1152" i="2"/>
  <c r="O1152" i="2" s="1"/>
  <c r="K284" i="2"/>
  <c r="L1598" i="2"/>
  <c r="Q1598" i="2" s="1"/>
  <c r="L412" i="2"/>
  <c r="Q412" i="2" s="1"/>
  <c r="K942" i="2"/>
  <c r="L1322" i="2"/>
  <c r="Q1322" i="2" s="1"/>
  <c r="K601" i="2"/>
  <c r="L819" i="2"/>
  <c r="Q819" i="2" s="1"/>
  <c r="L1257" i="2"/>
  <c r="Q1257" i="2" s="1"/>
  <c r="L26" i="2"/>
  <c r="Q26" i="2" s="1"/>
  <c r="L788" i="2"/>
  <c r="Q788" i="2" s="1"/>
  <c r="K180" i="2"/>
  <c r="K276" i="2"/>
  <c r="K1107" i="2"/>
  <c r="K1254" i="2"/>
  <c r="O1254" i="2" s="1"/>
  <c r="L1709" i="2"/>
  <c r="Q1709" i="2" s="1"/>
  <c r="K1035" i="2"/>
  <c r="K1417" i="2"/>
  <c r="O1417" i="2" s="1"/>
  <c r="L1414" i="2"/>
  <c r="Q1414" i="2" s="1"/>
  <c r="L1545" i="2"/>
  <c r="Q1545" i="2" s="1"/>
  <c r="K1581" i="2"/>
  <c r="K1613" i="2"/>
  <c r="K1549" i="2"/>
  <c r="L978" i="2"/>
  <c r="Q978" i="2" s="1"/>
  <c r="K1645" i="2"/>
  <c r="K1677" i="2"/>
  <c r="K1651" i="2"/>
  <c r="C41" i="40"/>
  <c r="L595" i="2"/>
  <c r="Q595" i="2" s="1"/>
  <c r="K595" i="2"/>
  <c r="K531" i="2"/>
  <c r="L531" i="2"/>
  <c r="Q531" i="2" s="1"/>
  <c r="L499" i="2"/>
  <c r="Q499" i="2" s="1"/>
  <c r="K499" i="2"/>
  <c r="K56" i="2"/>
  <c r="L56" i="2"/>
  <c r="Q56" i="2" s="1"/>
  <c r="L1702" i="2"/>
  <c r="Q1702" i="2" s="1"/>
  <c r="L1670" i="2"/>
  <c r="Q1670" i="2" s="1"/>
  <c r="L1638" i="2"/>
  <c r="Q1638" i="2" s="1"/>
  <c r="L1606" i="2"/>
  <c r="Q1606" i="2" s="1"/>
  <c r="L1574" i="2"/>
  <c r="Q1574" i="2" s="1"/>
  <c r="L1542" i="2"/>
  <c r="Q1542" i="2" s="1"/>
  <c r="L1509" i="2"/>
  <c r="Q1509" i="2" s="1"/>
  <c r="L1476" i="2"/>
  <c r="Q1476" i="2" s="1"/>
  <c r="L1443" i="2"/>
  <c r="Q1443" i="2" s="1"/>
  <c r="L1410" i="2"/>
  <c r="L1376" i="2"/>
  <c r="Q1376" i="2" s="1"/>
  <c r="L1315" i="2"/>
  <c r="Q1315" i="2" s="1"/>
  <c r="L1281" i="2"/>
  <c r="Q1281" i="2" s="1"/>
  <c r="L1247" i="2"/>
  <c r="Q1247" i="2" s="1"/>
  <c r="L1213" i="2"/>
  <c r="Q1213" i="2" s="1"/>
  <c r="L1179" i="2"/>
  <c r="Q1179" i="2" s="1"/>
  <c r="L1145" i="2"/>
  <c r="Q1145" i="2" s="1"/>
  <c r="L1111" i="2"/>
  <c r="Q1111" i="2" s="1"/>
  <c r="L1075" i="2"/>
  <c r="L1040" i="2"/>
  <c r="Q1040" i="2" s="1"/>
  <c r="L1005" i="2"/>
  <c r="Q1005" i="2" s="1"/>
  <c r="L970" i="2"/>
  <c r="L935" i="2"/>
  <c r="Q935" i="2" s="1"/>
  <c r="L882" i="2"/>
  <c r="Q882" i="2" s="1"/>
  <c r="L847" i="2"/>
  <c r="Q847" i="2" s="1"/>
  <c r="L812" i="2"/>
  <c r="Q812" i="2" s="1"/>
  <c r="L775" i="2"/>
  <c r="Q775" i="2" s="1"/>
  <c r="L740" i="2"/>
  <c r="Q740" i="2" s="1"/>
  <c r="L704" i="2"/>
  <c r="Q704" i="2" s="1"/>
  <c r="L668" i="2"/>
  <c r="Q668" i="2" s="1"/>
  <c r="L627" i="2"/>
  <c r="Q627" i="2" s="1"/>
  <c r="L590" i="2"/>
  <c r="Q590" i="2" s="1"/>
  <c r="L553" i="2"/>
  <c r="Q553" i="2" s="1"/>
  <c r="L516" i="2"/>
  <c r="Q516" i="2" s="1"/>
  <c r="L479" i="2"/>
  <c r="Q479" i="2" s="1"/>
  <c r="L442" i="2"/>
  <c r="Q442" i="2" s="1"/>
  <c r="L361" i="2"/>
  <c r="L318" i="2"/>
  <c r="L233" i="2"/>
  <c r="Q233" i="2" s="1"/>
  <c r="L138" i="2"/>
  <c r="Q138" i="2" s="1"/>
  <c r="L88" i="2"/>
  <c r="Q88" i="2" s="1"/>
  <c r="L36" i="2"/>
  <c r="Q36" i="2" s="1"/>
  <c r="K1698" i="2"/>
  <c r="K1637" i="2"/>
  <c r="K1586" i="2"/>
  <c r="K1529" i="2"/>
  <c r="K1475" i="2"/>
  <c r="K1407" i="2"/>
  <c r="K1302" i="2"/>
  <c r="K1230" i="2"/>
  <c r="K1172" i="2"/>
  <c r="O1172" i="2" s="1"/>
  <c r="Q1172" i="2" s="1"/>
  <c r="K1100" i="2"/>
  <c r="K1028" i="2"/>
  <c r="K938" i="2"/>
  <c r="K830" i="2"/>
  <c r="K772" i="2"/>
  <c r="K569" i="2"/>
  <c r="K476" i="2"/>
  <c r="O476" i="2" s="1"/>
  <c r="K381" i="2"/>
  <c r="K280" i="2"/>
  <c r="K161" i="2"/>
  <c r="K530" i="2"/>
  <c r="L530" i="2"/>
  <c r="Q530" i="2" s="1"/>
  <c r="L498" i="2"/>
  <c r="Q498" i="2" s="1"/>
  <c r="K498" i="2"/>
  <c r="K402" i="2"/>
  <c r="L402" i="2"/>
  <c r="Q402" i="2" s="1"/>
  <c r="K114" i="2"/>
  <c r="L114" i="2"/>
  <c r="Q114" i="2" s="1"/>
  <c r="K23" i="2"/>
  <c r="L23" i="2"/>
  <c r="Q23" i="2" s="1"/>
  <c r="L1701" i="2"/>
  <c r="Q1701" i="2" s="1"/>
  <c r="L1669" i="2"/>
  <c r="Q1669" i="2" s="1"/>
  <c r="L1605" i="2"/>
  <c r="Q1605" i="2" s="1"/>
  <c r="L1573" i="2"/>
  <c r="Q1573" i="2" s="1"/>
  <c r="L1541" i="2"/>
  <c r="Q1541" i="2" s="1"/>
  <c r="L1508" i="2"/>
  <c r="Q1508" i="2" s="1"/>
  <c r="L1442" i="2"/>
  <c r="Q1442" i="2" s="1"/>
  <c r="L1409" i="2"/>
  <c r="Q1409" i="2" s="1"/>
  <c r="L1375" i="2"/>
  <c r="Q1375" i="2" s="1"/>
  <c r="L1314" i="2"/>
  <c r="Q1314" i="2" s="1"/>
  <c r="L1280" i="2"/>
  <c r="Q1280" i="2" s="1"/>
  <c r="L1246" i="2"/>
  <c r="L1212" i="2"/>
  <c r="Q1212" i="2" s="1"/>
  <c r="L1178" i="2"/>
  <c r="Q1178" i="2" s="1"/>
  <c r="L1144" i="2"/>
  <c r="Q1144" i="2" s="1"/>
  <c r="L1109" i="2"/>
  <c r="Q1109" i="2" s="1"/>
  <c r="L1074" i="2"/>
  <c r="Q1074" i="2" s="1"/>
  <c r="L1039" i="2"/>
  <c r="Q1039" i="2" s="1"/>
  <c r="L1004" i="2"/>
  <c r="Q1004" i="2" s="1"/>
  <c r="L969" i="2"/>
  <c r="Q969" i="2" s="1"/>
  <c r="L934" i="2"/>
  <c r="Q934" i="2" s="1"/>
  <c r="L881" i="2"/>
  <c r="Q881" i="2" s="1"/>
  <c r="L846" i="2"/>
  <c r="Q846" i="2" s="1"/>
  <c r="L811" i="2"/>
  <c r="Q811" i="2" s="1"/>
  <c r="L774" i="2"/>
  <c r="Q774" i="2" s="1"/>
  <c r="L739" i="2"/>
  <c r="Q739" i="2" s="1"/>
  <c r="L703" i="2"/>
  <c r="Q703" i="2" s="1"/>
  <c r="L667" i="2"/>
  <c r="Q667" i="2" s="1"/>
  <c r="L626" i="2"/>
  <c r="Q626" i="2" s="1"/>
  <c r="L589" i="2"/>
  <c r="Q589" i="2" s="1"/>
  <c r="L552" i="2"/>
  <c r="Q552" i="2" s="1"/>
  <c r="L515" i="2"/>
  <c r="Q515" i="2" s="1"/>
  <c r="L478" i="2"/>
  <c r="Q478" i="2" s="1"/>
  <c r="L441" i="2"/>
  <c r="Q441" i="2" s="1"/>
  <c r="L404" i="2"/>
  <c r="Q404" i="2" s="1"/>
  <c r="L360" i="2"/>
  <c r="Q360" i="2" s="1"/>
  <c r="L317" i="2"/>
  <c r="L232" i="2"/>
  <c r="Q232" i="2" s="1"/>
  <c r="L137" i="2"/>
  <c r="Q137" i="2" s="1"/>
  <c r="L87" i="2"/>
  <c r="Q87" i="2" s="1"/>
  <c r="L35" i="2"/>
  <c r="Q35" i="2" s="1"/>
  <c r="K1697" i="2"/>
  <c r="K1636" i="2"/>
  <c r="K1523" i="2"/>
  <c r="O1523" i="2" s="1"/>
  <c r="K1474" i="2"/>
  <c r="K1406" i="2"/>
  <c r="K1301" i="2"/>
  <c r="K1229" i="2"/>
  <c r="K1171" i="2"/>
  <c r="K1099" i="2"/>
  <c r="K1027" i="2"/>
  <c r="K937" i="2"/>
  <c r="K829" i="2"/>
  <c r="K771" i="2"/>
  <c r="K661" i="2"/>
  <c r="K568" i="2"/>
  <c r="K475" i="2"/>
  <c r="K380" i="2"/>
  <c r="K279" i="2"/>
  <c r="K160" i="2"/>
  <c r="L497" i="2"/>
  <c r="Q497" i="2" s="1"/>
  <c r="K497" i="2"/>
  <c r="K465" i="2"/>
  <c r="L465" i="2"/>
  <c r="Q465" i="2" s="1"/>
  <c r="K433" i="2"/>
  <c r="L433" i="2"/>
  <c r="Q433" i="2" s="1"/>
  <c r="K401" i="2"/>
  <c r="L401" i="2"/>
  <c r="Q401" i="2" s="1"/>
  <c r="K54" i="2"/>
  <c r="L54" i="2"/>
  <c r="Q54" i="2" s="1"/>
  <c r="L1700" i="2"/>
  <c r="Q1700" i="2" s="1"/>
  <c r="L1668" i="2"/>
  <c r="Q1668" i="2" s="1"/>
  <c r="L1604" i="2"/>
  <c r="Q1604" i="2" s="1"/>
  <c r="L1572" i="2"/>
  <c r="Q1572" i="2" s="1"/>
  <c r="L1540" i="2"/>
  <c r="Q1540" i="2" s="1"/>
  <c r="L1507" i="2"/>
  <c r="L1441" i="2"/>
  <c r="Q1441" i="2" s="1"/>
  <c r="L1408" i="2"/>
  <c r="Q1408" i="2" s="1"/>
  <c r="L1374" i="2"/>
  <c r="Q1374" i="2" s="1"/>
  <c r="L1313" i="2"/>
  <c r="Q1313" i="2" s="1"/>
  <c r="L1279" i="2"/>
  <c r="Q1279" i="2" s="1"/>
  <c r="L1245" i="2"/>
  <c r="L1211" i="2"/>
  <c r="Q1211" i="2" s="1"/>
  <c r="L1177" i="2"/>
  <c r="Q1177" i="2" s="1"/>
  <c r="L1143" i="2"/>
  <c r="Q1143" i="2" s="1"/>
  <c r="L1073" i="2"/>
  <c r="Q1073" i="2" s="1"/>
  <c r="L1038" i="2"/>
  <c r="Q1038" i="2" s="1"/>
  <c r="L1003" i="2"/>
  <c r="Q1003" i="2" s="1"/>
  <c r="L968" i="2"/>
  <c r="Q968" i="2" s="1"/>
  <c r="L933" i="2"/>
  <c r="Q933" i="2" s="1"/>
  <c r="L880" i="2"/>
  <c r="L845" i="2"/>
  <c r="Q845" i="2" s="1"/>
  <c r="L810" i="2"/>
  <c r="Q810" i="2" s="1"/>
  <c r="L773" i="2"/>
  <c r="Q773" i="2" s="1"/>
  <c r="L737" i="2"/>
  <c r="Q737" i="2" s="1"/>
  <c r="L702" i="2"/>
  <c r="Q702" i="2" s="1"/>
  <c r="L666" i="2"/>
  <c r="Q666" i="2" s="1"/>
  <c r="L625" i="2"/>
  <c r="L588" i="2"/>
  <c r="Q588" i="2" s="1"/>
  <c r="L551" i="2"/>
  <c r="Q551" i="2" s="1"/>
  <c r="L477" i="2"/>
  <c r="Q477" i="2" s="1"/>
  <c r="L440" i="2"/>
  <c r="L403" i="2"/>
  <c r="Q403" i="2" s="1"/>
  <c r="L359" i="2"/>
  <c r="Q359" i="2" s="1"/>
  <c r="L316" i="2"/>
  <c r="Q316" i="2" s="1"/>
  <c r="L275" i="2"/>
  <c r="Q275" i="2" s="1"/>
  <c r="L231" i="2"/>
  <c r="Q231" i="2" s="1"/>
  <c r="L136" i="2"/>
  <c r="Q136" i="2" s="1"/>
  <c r="L34" i="2"/>
  <c r="Q34" i="2" s="1"/>
  <c r="K1695" i="2"/>
  <c r="K1635" i="2"/>
  <c r="K1583" i="2"/>
  <c r="K1522" i="2"/>
  <c r="K1472" i="2"/>
  <c r="K1405" i="2"/>
  <c r="K1300" i="2"/>
  <c r="K1228" i="2"/>
  <c r="O1228" i="2" s="1"/>
  <c r="K1167" i="2"/>
  <c r="K1098" i="2"/>
  <c r="K1026" i="2"/>
  <c r="K936" i="2"/>
  <c r="K828" i="2"/>
  <c r="K759" i="2"/>
  <c r="K660" i="2"/>
  <c r="K567" i="2"/>
  <c r="K474" i="2"/>
  <c r="K379" i="2"/>
  <c r="K278" i="2"/>
  <c r="K159" i="2"/>
  <c r="L464" i="2"/>
  <c r="Q464" i="2" s="1"/>
  <c r="K464" i="2"/>
  <c r="L368" i="2"/>
  <c r="Q368" i="2" s="1"/>
  <c r="K368" i="2"/>
  <c r="K85" i="2"/>
  <c r="L85" i="2"/>
  <c r="Q85" i="2" s="1"/>
  <c r="K53" i="2"/>
  <c r="L53" i="2"/>
  <c r="Q53" i="2" s="1"/>
  <c r="K21" i="2"/>
  <c r="L21" i="2"/>
  <c r="Q21" i="2" s="1"/>
  <c r="L1699" i="2"/>
  <c r="Q1699" i="2" s="1"/>
  <c r="L1667" i="2"/>
  <c r="Q1667" i="2" s="1"/>
  <c r="L1603" i="2"/>
  <c r="Q1603" i="2" s="1"/>
  <c r="L1571" i="2"/>
  <c r="Q1571" i="2" s="1"/>
  <c r="L1539" i="2"/>
  <c r="Q1539" i="2" s="1"/>
  <c r="L1506" i="2"/>
  <c r="Q1506" i="2" s="1"/>
  <c r="L1473" i="2"/>
  <c r="Q1473" i="2" s="1"/>
  <c r="L1440" i="2"/>
  <c r="L1373" i="2"/>
  <c r="Q1373" i="2" s="1"/>
  <c r="L1312" i="2"/>
  <c r="Q1312" i="2" s="1"/>
  <c r="L1278" i="2"/>
  <c r="Q1278" i="2" s="1"/>
  <c r="L1244" i="2"/>
  <c r="L1210" i="2"/>
  <c r="L1176" i="2"/>
  <c r="Q1176" i="2" s="1"/>
  <c r="L1141" i="2"/>
  <c r="Q1141" i="2" s="1"/>
  <c r="L1106" i="2"/>
  <c r="Q1106" i="2" s="1"/>
  <c r="L1072" i="2"/>
  <c r="Q1072" i="2" s="1"/>
  <c r="L1037" i="2"/>
  <c r="Q1037" i="2" s="1"/>
  <c r="L1002" i="2"/>
  <c r="Q1002" i="2" s="1"/>
  <c r="L967" i="2"/>
  <c r="L932" i="2"/>
  <c r="Q932" i="2" s="1"/>
  <c r="L879" i="2"/>
  <c r="Q879" i="2" s="1"/>
  <c r="L844" i="2"/>
  <c r="Q844" i="2" s="1"/>
  <c r="L809" i="2"/>
  <c r="Q809" i="2" s="1"/>
  <c r="L736" i="2"/>
  <c r="Q736" i="2" s="1"/>
  <c r="L701" i="2"/>
  <c r="Q701" i="2" s="1"/>
  <c r="L665" i="2"/>
  <c r="Q665" i="2" s="1"/>
  <c r="L624" i="2"/>
  <c r="Q624" i="2" s="1"/>
  <c r="L587" i="2"/>
  <c r="Q587" i="2" s="1"/>
  <c r="L550" i="2"/>
  <c r="Q550" i="2" s="1"/>
  <c r="L513" i="2"/>
  <c r="Q513" i="2" s="1"/>
  <c r="L439" i="2"/>
  <c r="Q439" i="2" s="1"/>
  <c r="L397" i="2"/>
  <c r="Q397" i="2" s="1"/>
  <c r="L358" i="2"/>
  <c r="L315" i="2"/>
  <c r="Q315" i="2" s="1"/>
  <c r="L274" i="2"/>
  <c r="L230" i="2"/>
  <c r="Q230" i="2" s="1"/>
  <c r="L179" i="2"/>
  <c r="Q179" i="2" s="1"/>
  <c r="L135" i="2"/>
  <c r="Q135" i="2" s="1"/>
  <c r="L84" i="2"/>
  <c r="Q84" i="2" s="1"/>
  <c r="L33" i="2"/>
  <c r="Q33" i="2" s="1"/>
  <c r="K1693" i="2"/>
  <c r="K1634" i="2"/>
  <c r="K1582" i="2"/>
  <c r="K1521" i="2"/>
  <c r="K1470" i="2"/>
  <c r="K1404" i="2"/>
  <c r="K1299" i="2"/>
  <c r="K1227" i="2"/>
  <c r="K1161" i="2"/>
  <c r="K1097" i="2"/>
  <c r="K1022" i="2"/>
  <c r="K816" i="2"/>
  <c r="K752" i="2"/>
  <c r="K659" i="2"/>
  <c r="K566" i="2"/>
  <c r="K473" i="2"/>
  <c r="K378" i="2"/>
  <c r="K158" i="2"/>
  <c r="K431" i="2"/>
  <c r="L431" i="2"/>
  <c r="Q431" i="2" s="1"/>
  <c r="K399" i="2"/>
  <c r="L399" i="2"/>
  <c r="Q399" i="2" s="1"/>
  <c r="K367" i="2"/>
  <c r="O367" i="2" s="1"/>
  <c r="L367" i="2"/>
  <c r="K335" i="2"/>
  <c r="L335" i="2"/>
  <c r="Q335" i="2" s="1"/>
  <c r="K271" i="2"/>
  <c r="L271" i="2"/>
  <c r="Q271" i="2" s="1"/>
  <c r="K52" i="2"/>
  <c r="L52" i="2"/>
  <c r="Q52" i="2" s="1"/>
  <c r="L1666" i="2"/>
  <c r="Q1666" i="2" s="1"/>
  <c r="L1602" i="2"/>
  <c r="Q1602" i="2" s="1"/>
  <c r="L1570" i="2"/>
  <c r="Q1570" i="2" s="1"/>
  <c r="L1505" i="2"/>
  <c r="Q1505" i="2" s="1"/>
  <c r="L1439" i="2"/>
  <c r="Q1439" i="2" s="1"/>
  <c r="L1372" i="2"/>
  <c r="Q1372" i="2" s="1"/>
  <c r="L1311" i="2"/>
  <c r="Q1311" i="2" s="1"/>
  <c r="L1277" i="2"/>
  <c r="Q1277" i="2" s="1"/>
  <c r="L1243" i="2"/>
  <c r="Q1243" i="2" s="1"/>
  <c r="L1209" i="2"/>
  <c r="L1175" i="2"/>
  <c r="Q1175" i="2" s="1"/>
  <c r="L1139" i="2"/>
  <c r="Q1139" i="2" s="1"/>
  <c r="L1105" i="2"/>
  <c r="Q1105" i="2" s="1"/>
  <c r="L1071" i="2"/>
  <c r="Q1071" i="2" s="1"/>
  <c r="L1036" i="2"/>
  <c r="Q1036" i="2" s="1"/>
  <c r="L1001" i="2"/>
  <c r="Q1001" i="2" s="1"/>
  <c r="L966" i="2"/>
  <c r="Q966" i="2" s="1"/>
  <c r="L931" i="2"/>
  <c r="Q931" i="2" s="1"/>
  <c r="L878" i="2"/>
  <c r="Q878" i="2" s="1"/>
  <c r="L843" i="2"/>
  <c r="Q843" i="2" s="1"/>
  <c r="L808" i="2"/>
  <c r="Q808" i="2" s="1"/>
  <c r="L735" i="2"/>
  <c r="Q735" i="2" s="1"/>
  <c r="L623" i="2"/>
  <c r="Q623" i="2" s="1"/>
  <c r="L586" i="2"/>
  <c r="Q586" i="2" s="1"/>
  <c r="L549" i="2"/>
  <c r="Q549" i="2" s="1"/>
  <c r="L512" i="2"/>
  <c r="Q512" i="2" s="1"/>
  <c r="L438" i="2"/>
  <c r="Q438" i="2" s="1"/>
  <c r="L396" i="2"/>
  <c r="Q396" i="2" s="1"/>
  <c r="L357" i="2"/>
  <c r="Q357" i="2" s="1"/>
  <c r="L314" i="2"/>
  <c r="Q314" i="2" s="1"/>
  <c r="L273" i="2"/>
  <c r="Q273" i="2" s="1"/>
  <c r="L220" i="2"/>
  <c r="Q220" i="2" s="1"/>
  <c r="L178" i="2"/>
  <c r="Q178" i="2" s="1"/>
  <c r="L134" i="2"/>
  <c r="Q134" i="2" s="1"/>
  <c r="L83" i="2"/>
  <c r="Q83" i="2" s="1"/>
  <c r="L32" i="2"/>
  <c r="Q32" i="2" s="1"/>
  <c r="K1691" i="2"/>
  <c r="K1633" i="2"/>
  <c r="K1520" i="2"/>
  <c r="O1520" i="2" s="1"/>
  <c r="Q1520" i="2" s="1"/>
  <c r="K1468" i="2"/>
  <c r="K1403" i="2"/>
  <c r="K1298" i="2"/>
  <c r="K1226" i="2"/>
  <c r="K1154" i="2"/>
  <c r="O1154" i="2" s="1"/>
  <c r="Q1154" i="2" s="1"/>
  <c r="K1096" i="2"/>
  <c r="K1016" i="2"/>
  <c r="K742" i="2"/>
  <c r="K658" i="2"/>
  <c r="K565" i="2"/>
  <c r="K472" i="2"/>
  <c r="K377" i="2"/>
  <c r="K157" i="2"/>
  <c r="K398" i="2"/>
  <c r="L398" i="2"/>
  <c r="Q398" i="2" s="1"/>
  <c r="K366" i="2"/>
  <c r="L366" i="2"/>
  <c r="Q366" i="2" s="1"/>
  <c r="K334" i="2"/>
  <c r="L334" i="2"/>
  <c r="Q334" i="2" s="1"/>
  <c r="K51" i="2"/>
  <c r="L51" i="2"/>
  <c r="Q51" i="2" s="1"/>
  <c r="K19" i="2"/>
  <c r="L19" i="2"/>
  <c r="Q19" i="2" s="1"/>
  <c r="L1665" i="2"/>
  <c r="Q1665" i="2" s="1"/>
  <c r="L1601" i="2"/>
  <c r="Q1601" i="2" s="1"/>
  <c r="L1569" i="2"/>
  <c r="Q1569" i="2" s="1"/>
  <c r="L1537" i="2"/>
  <c r="Q1537" i="2" s="1"/>
  <c r="L1504" i="2"/>
  <c r="Q1504" i="2" s="1"/>
  <c r="L1471" i="2"/>
  <c r="Q1471" i="2" s="1"/>
  <c r="L1438" i="2"/>
  <c r="Q1438" i="2" s="1"/>
  <c r="L1371" i="2"/>
  <c r="Q1371" i="2" s="1"/>
  <c r="L1310" i="2"/>
  <c r="Q1310" i="2" s="1"/>
  <c r="L1276" i="2"/>
  <c r="Q1276" i="2" s="1"/>
  <c r="L1242" i="2"/>
  <c r="Q1242" i="2" s="1"/>
  <c r="L1208" i="2"/>
  <c r="Q1208" i="2" s="1"/>
  <c r="L1173" i="2"/>
  <c r="L1138" i="2"/>
  <c r="Q1138" i="2" s="1"/>
  <c r="L1104" i="2"/>
  <c r="Q1104" i="2" s="1"/>
  <c r="L1070" i="2"/>
  <c r="Q1070" i="2" s="1"/>
  <c r="L1000" i="2"/>
  <c r="L965" i="2"/>
  <c r="Q965" i="2" s="1"/>
  <c r="L930" i="2"/>
  <c r="Q930" i="2" s="1"/>
  <c r="L877" i="2"/>
  <c r="Q877" i="2" s="1"/>
  <c r="L842" i="2"/>
  <c r="Q842" i="2" s="1"/>
  <c r="L807" i="2"/>
  <c r="Q807" i="2" s="1"/>
  <c r="L769" i="2"/>
  <c r="Q769" i="2" s="1"/>
  <c r="L734" i="2"/>
  <c r="Q734" i="2" s="1"/>
  <c r="L699" i="2"/>
  <c r="Q699" i="2" s="1"/>
  <c r="L622" i="2"/>
  <c r="Q622" i="2" s="1"/>
  <c r="L585" i="2"/>
  <c r="Q585" i="2" s="1"/>
  <c r="L548" i="2"/>
  <c r="Q548" i="2" s="1"/>
  <c r="L511" i="2"/>
  <c r="Q511" i="2" s="1"/>
  <c r="L437" i="2"/>
  <c r="Q437" i="2" s="1"/>
  <c r="L395" i="2"/>
  <c r="Q395" i="2" s="1"/>
  <c r="L356" i="2"/>
  <c r="Q356" i="2" s="1"/>
  <c r="L313" i="2"/>
  <c r="Q313" i="2" s="1"/>
  <c r="L272" i="2"/>
  <c r="Q272" i="2" s="1"/>
  <c r="L219" i="2"/>
  <c r="Q219" i="2" s="1"/>
  <c r="L177" i="2"/>
  <c r="L131" i="2"/>
  <c r="Q131" i="2" s="1"/>
  <c r="L82" i="2"/>
  <c r="Q82" i="2" s="1"/>
  <c r="L31" i="2"/>
  <c r="Q31" i="2" s="1"/>
  <c r="K1679" i="2"/>
  <c r="K1632" i="2"/>
  <c r="K1579" i="2"/>
  <c r="K1519" i="2"/>
  <c r="K1459" i="2"/>
  <c r="K1401" i="2"/>
  <c r="K1297" i="2"/>
  <c r="K1225" i="2"/>
  <c r="K1153" i="2"/>
  <c r="K1095" i="2"/>
  <c r="K914" i="2"/>
  <c r="K801" i="2"/>
  <c r="K741" i="2"/>
  <c r="K657" i="2"/>
  <c r="O657" i="2" s="1"/>
  <c r="K564" i="2"/>
  <c r="K471" i="2"/>
  <c r="K376" i="2"/>
  <c r="K156" i="2"/>
  <c r="K365" i="2"/>
  <c r="L365" i="2"/>
  <c r="Q365" i="2" s="1"/>
  <c r="K333" i="2"/>
  <c r="L333" i="2"/>
  <c r="Q333" i="2" s="1"/>
  <c r="K50" i="2"/>
  <c r="L50" i="2"/>
  <c r="Q50" i="2" s="1"/>
  <c r="L1696" i="2"/>
  <c r="Q1696" i="2" s="1"/>
  <c r="L1664" i="2"/>
  <c r="Q1664" i="2" s="1"/>
  <c r="L1600" i="2"/>
  <c r="Q1600" i="2" s="1"/>
  <c r="L1568" i="2"/>
  <c r="Q1568" i="2" s="1"/>
  <c r="L1536" i="2"/>
  <c r="Q1536" i="2" s="1"/>
  <c r="L1503" i="2"/>
  <c r="Q1503" i="2" s="1"/>
  <c r="L1437" i="2"/>
  <c r="Q1437" i="2" s="1"/>
  <c r="L1370" i="2"/>
  <c r="Q1370" i="2" s="1"/>
  <c r="L1309" i="2"/>
  <c r="Q1309" i="2" s="1"/>
  <c r="L1275" i="2"/>
  <c r="Q1275" i="2" s="1"/>
  <c r="L1241" i="2"/>
  <c r="Q1241" i="2" s="1"/>
  <c r="L1207" i="2"/>
  <c r="Q1207" i="2" s="1"/>
  <c r="L1137" i="2"/>
  <c r="Q1137" i="2" s="1"/>
  <c r="L1103" i="2"/>
  <c r="Q1103" i="2" s="1"/>
  <c r="L1069" i="2"/>
  <c r="Q1069" i="2" s="1"/>
  <c r="L1034" i="2"/>
  <c r="Q1034" i="2" s="1"/>
  <c r="L999" i="2"/>
  <c r="Q999" i="2" s="1"/>
  <c r="L964" i="2"/>
  <c r="Q964" i="2" s="1"/>
  <c r="L929" i="2"/>
  <c r="Q929" i="2" s="1"/>
  <c r="L876" i="2"/>
  <c r="Q876" i="2" s="1"/>
  <c r="L841" i="2"/>
  <c r="Q841" i="2" s="1"/>
  <c r="L806" i="2"/>
  <c r="Q806" i="2" s="1"/>
  <c r="L768" i="2"/>
  <c r="L733" i="2"/>
  <c r="Q733" i="2" s="1"/>
  <c r="L698" i="2"/>
  <c r="L621" i="2"/>
  <c r="Q621" i="2" s="1"/>
  <c r="L584" i="2"/>
  <c r="Q584" i="2" s="1"/>
  <c r="L547" i="2"/>
  <c r="Q547" i="2" s="1"/>
  <c r="L510" i="2"/>
  <c r="L436" i="2"/>
  <c r="Q436" i="2" s="1"/>
  <c r="L353" i="2"/>
  <c r="Q353" i="2" s="1"/>
  <c r="L312" i="2"/>
  <c r="Q312" i="2" s="1"/>
  <c r="L270" i="2"/>
  <c r="Q270" i="2" s="1"/>
  <c r="L218" i="2"/>
  <c r="L176" i="2"/>
  <c r="Q176" i="2" s="1"/>
  <c r="L127" i="2"/>
  <c r="Q127" i="2" s="1"/>
  <c r="L81" i="2"/>
  <c r="Q81" i="2" s="1"/>
  <c r="L30" i="2"/>
  <c r="Q30" i="2" s="1"/>
  <c r="K1678" i="2"/>
  <c r="K1631" i="2"/>
  <c r="K1577" i="2"/>
  <c r="O1577" i="2" s="1"/>
  <c r="K1518" i="2"/>
  <c r="K1452" i="2"/>
  <c r="K1395" i="2"/>
  <c r="K1296" i="2"/>
  <c r="K1224" i="2"/>
  <c r="K1091" i="2"/>
  <c r="K1014" i="2"/>
  <c r="K800" i="2"/>
  <c r="K656" i="2"/>
  <c r="K563" i="2"/>
  <c r="K470" i="2"/>
  <c r="K375" i="2"/>
  <c r="K262" i="2"/>
  <c r="K364" i="2"/>
  <c r="L364" i="2"/>
  <c r="Q364" i="2" s="1"/>
  <c r="K332" i="2"/>
  <c r="L332" i="2"/>
  <c r="Q332" i="2" s="1"/>
  <c r="K300" i="2"/>
  <c r="O300" i="2" s="1"/>
  <c r="L300" i="2"/>
  <c r="K49" i="2"/>
  <c r="L49" i="2"/>
  <c r="Q49" i="2" s="1"/>
  <c r="K17" i="2"/>
  <c r="L17" i="2"/>
  <c r="Q17" i="2" s="1"/>
  <c r="L1663" i="2"/>
  <c r="Q1663" i="2" s="1"/>
  <c r="L1599" i="2"/>
  <c r="Q1599" i="2" s="1"/>
  <c r="L1567" i="2"/>
  <c r="Q1567" i="2" s="1"/>
  <c r="L1535" i="2"/>
  <c r="Q1535" i="2" s="1"/>
  <c r="L1502" i="2"/>
  <c r="Q1502" i="2" s="1"/>
  <c r="L1469" i="2"/>
  <c r="L1436" i="2"/>
  <c r="Q1436" i="2" s="1"/>
  <c r="L1369" i="2"/>
  <c r="Q1369" i="2" s="1"/>
  <c r="L1308" i="2"/>
  <c r="Q1308" i="2" s="1"/>
  <c r="L1274" i="2"/>
  <c r="Q1274" i="2" s="1"/>
  <c r="L1240" i="2"/>
  <c r="Q1240" i="2" s="1"/>
  <c r="L1205" i="2"/>
  <c r="Q1205" i="2" s="1"/>
  <c r="L1170" i="2"/>
  <c r="Q1170" i="2" s="1"/>
  <c r="L1136" i="2"/>
  <c r="Q1136" i="2" s="1"/>
  <c r="L1102" i="2"/>
  <c r="Q1102" i="2" s="1"/>
  <c r="L1068" i="2"/>
  <c r="Q1068" i="2" s="1"/>
  <c r="L1033" i="2"/>
  <c r="Q1033" i="2" s="1"/>
  <c r="L998" i="2"/>
  <c r="L963" i="2"/>
  <c r="Q963" i="2" s="1"/>
  <c r="L928" i="2"/>
  <c r="Q928" i="2" s="1"/>
  <c r="L875" i="2"/>
  <c r="Q875" i="2" s="1"/>
  <c r="L840" i="2"/>
  <c r="Q840" i="2" s="1"/>
  <c r="L805" i="2"/>
  <c r="Q805" i="2" s="1"/>
  <c r="L767" i="2"/>
  <c r="Q767" i="2" s="1"/>
  <c r="L732" i="2"/>
  <c r="Q732" i="2" s="1"/>
  <c r="L694" i="2"/>
  <c r="Q694" i="2" s="1"/>
  <c r="L620" i="2"/>
  <c r="Q620" i="2" s="1"/>
  <c r="L583" i="2"/>
  <c r="Q583" i="2" s="1"/>
  <c r="L545" i="2"/>
  <c r="Q545" i="2" s="1"/>
  <c r="L435" i="2"/>
  <c r="Q435" i="2" s="1"/>
  <c r="L393" i="2"/>
  <c r="Q393" i="2" s="1"/>
  <c r="L352" i="2"/>
  <c r="L311" i="2"/>
  <c r="Q311" i="2" s="1"/>
  <c r="L269" i="2"/>
  <c r="Q269" i="2" s="1"/>
  <c r="L217" i="2"/>
  <c r="Q217" i="2" s="1"/>
  <c r="L175" i="2"/>
  <c r="Q175" i="2" s="1"/>
  <c r="L126" i="2"/>
  <c r="Q126" i="2" s="1"/>
  <c r="L80" i="2"/>
  <c r="Q80" i="2" s="1"/>
  <c r="L29" i="2"/>
  <c r="Q29" i="2" s="1"/>
  <c r="K1630" i="2"/>
  <c r="K1575" i="2"/>
  <c r="K1517" i="2"/>
  <c r="K1451" i="2"/>
  <c r="K1394" i="2"/>
  <c r="K1295" i="2"/>
  <c r="K1223" i="2"/>
  <c r="K1150" i="2"/>
  <c r="O1150" i="2" s="1"/>
  <c r="K799" i="2"/>
  <c r="K646" i="2"/>
  <c r="K562" i="2"/>
  <c r="K469" i="2"/>
  <c r="K374" i="2"/>
  <c r="K261" i="2"/>
  <c r="K124" i="2"/>
  <c r="K331" i="2"/>
  <c r="L331" i="2"/>
  <c r="Q331" i="2" s="1"/>
  <c r="K299" i="2"/>
  <c r="L299" i="2"/>
  <c r="Q299" i="2" s="1"/>
  <c r="K235" i="2"/>
  <c r="L235" i="2"/>
  <c r="Q235" i="2" s="1"/>
  <c r="K16" i="2"/>
  <c r="L16" i="2"/>
  <c r="Q16" i="2" s="1"/>
  <c r="L1694" i="2"/>
  <c r="Q1694" i="2" s="1"/>
  <c r="L1662" i="2"/>
  <c r="Q1662" i="2" s="1"/>
  <c r="L1566" i="2"/>
  <c r="L1534" i="2"/>
  <c r="Q1534" i="2" s="1"/>
  <c r="L1501" i="2"/>
  <c r="Q1501" i="2" s="1"/>
  <c r="L1435" i="2"/>
  <c r="Q1435" i="2" s="1"/>
  <c r="L1402" i="2"/>
  <c r="Q1402" i="2" s="1"/>
  <c r="L1368" i="2"/>
  <c r="L1307" i="2"/>
  <c r="Q1307" i="2" s="1"/>
  <c r="L1273" i="2"/>
  <c r="Q1273" i="2" s="1"/>
  <c r="L1239" i="2"/>
  <c r="Q1239" i="2" s="1"/>
  <c r="L1203" i="2"/>
  <c r="Q1203" i="2" s="1"/>
  <c r="L1169" i="2"/>
  <c r="Q1169" i="2" s="1"/>
  <c r="L1135" i="2"/>
  <c r="Q1135" i="2" s="1"/>
  <c r="L1101" i="2"/>
  <c r="Q1101" i="2" s="1"/>
  <c r="L1067" i="2"/>
  <c r="Q1067" i="2" s="1"/>
  <c r="L1032" i="2"/>
  <c r="Q1032" i="2" s="1"/>
  <c r="L997" i="2"/>
  <c r="Q997" i="2" s="1"/>
  <c r="L962" i="2"/>
  <c r="Q962" i="2" s="1"/>
  <c r="L927" i="2"/>
  <c r="Q927" i="2" s="1"/>
  <c r="L874" i="2"/>
  <c r="Q874" i="2" s="1"/>
  <c r="L839" i="2"/>
  <c r="Q839" i="2" s="1"/>
  <c r="L804" i="2"/>
  <c r="Q804" i="2" s="1"/>
  <c r="L766" i="2"/>
  <c r="L731" i="2"/>
  <c r="Q731" i="2" s="1"/>
  <c r="L693" i="2"/>
  <c r="Q693" i="2" s="1"/>
  <c r="L619" i="2"/>
  <c r="Q619" i="2" s="1"/>
  <c r="L582" i="2"/>
  <c r="Q582" i="2" s="1"/>
  <c r="L544" i="2"/>
  <c r="Q544" i="2" s="1"/>
  <c r="L508" i="2"/>
  <c r="Q508" i="2" s="1"/>
  <c r="L430" i="2"/>
  <c r="Q430" i="2" s="1"/>
  <c r="L392" i="2"/>
  <c r="Q392" i="2" s="1"/>
  <c r="L351" i="2"/>
  <c r="L310" i="2"/>
  <c r="Q310" i="2" s="1"/>
  <c r="L268" i="2"/>
  <c r="Q268" i="2" s="1"/>
  <c r="L216" i="2"/>
  <c r="Q216" i="2" s="1"/>
  <c r="L174" i="2"/>
  <c r="L79" i="2"/>
  <c r="Q79" i="2" s="1"/>
  <c r="K1676" i="2"/>
  <c r="K1390" i="2"/>
  <c r="K1294" i="2"/>
  <c r="K1222" i="2"/>
  <c r="K1080" i="2"/>
  <c r="K995" i="2"/>
  <c r="K798" i="2"/>
  <c r="K738" i="2"/>
  <c r="K645" i="2"/>
  <c r="K561" i="2"/>
  <c r="K468" i="2"/>
  <c r="K249" i="2"/>
  <c r="K123" i="2"/>
  <c r="K330" i="2"/>
  <c r="L330" i="2"/>
  <c r="Q330" i="2" s="1"/>
  <c r="K298" i="2"/>
  <c r="O298" i="2" s="1"/>
  <c r="L298" i="2"/>
  <c r="K15" i="2"/>
  <c r="L15" i="2"/>
  <c r="Q15" i="2" s="1"/>
  <c r="L1661" i="2"/>
  <c r="Q1661" i="2" s="1"/>
  <c r="L1597" i="2"/>
  <c r="Q1597" i="2" s="1"/>
  <c r="L1565" i="2"/>
  <c r="Q1565" i="2" s="1"/>
  <c r="L1533" i="2"/>
  <c r="Q1533" i="2" s="1"/>
  <c r="L1500" i="2"/>
  <c r="Q1500" i="2" s="1"/>
  <c r="L1467" i="2"/>
  <c r="Q1467" i="2" s="1"/>
  <c r="L1434" i="2"/>
  <c r="Q1434" i="2" s="1"/>
  <c r="L1367" i="2"/>
  <c r="Q1367" i="2" s="1"/>
  <c r="L1306" i="2"/>
  <c r="Q1306" i="2" s="1"/>
  <c r="L1272" i="2"/>
  <c r="Q1272" i="2" s="1"/>
  <c r="L1237" i="2"/>
  <c r="Q1237" i="2" s="1"/>
  <c r="L1202" i="2"/>
  <c r="Q1202" i="2" s="1"/>
  <c r="L1168" i="2"/>
  <c r="Q1168" i="2" s="1"/>
  <c r="L1134" i="2"/>
  <c r="Q1134" i="2" s="1"/>
  <c r="L1066" i="2"/>
  <c r="L1031" i="2"/>
  <c r="Q1031" i="2" s="1"/>
  <c r="L996" i="2"/>
  <c r="Q996" i="2" s="1"/>
  <c r="L961" i="2"/>
  <c r="Q961" i="2" s="1"/>
  <c r="L926" i="2"/>
  <c r="L873" i="2"/>
  <c r="Q873" i="2" s="1"/>
  <c r="L838" i="2"/>
  <c r="Q838" i="2" s="1"/>
  <c r="L803" i="2"/>
  <c r="Q803" i="2" s="1"/>
  <c r="L765" i="2"/>
  <c r="L729" i="2"/>
  <c r="Q729" i="2" s="1"/>
  <c r="L692" i="2"/>
  <c r="Q692" i="2" s="1"/>
  <c r="L655" i="2"/>
  <c r="Q655" i="2" s="1"/>
  <c r="L618" i="2"/>
  <c r="Q618" i="2" s="1"/>
  <c r="L581" i="2"/>
  <c r="Q581" i="2" s="1"/>
  <c r="L543" i="2"/>
  <c r="Q543" i="2" s="1"/>
  <c r="L507" i="2"/>
  <c r="Q507" i="2" s="1"/>
  <c r="L429" i="2"/>
  <c r="Q429" i="2" s="1"/>
  <c r="L391" i="2"/>
  <c r="Q391" i="2" s="1"/>
  <c r="L350" i="2"/>
  <c r="Q350" i="2" s="1"/>
  <c r="L309" i="2"/>
  <c r="Q309" i="2" s="1"/>
  <c r="L267" i="2"/>
  <c r="Q267" i="2" s="1"/>
  <c r="L215" i="2"/>
  <c r="Q215" i="2" s="1"/>
  <c r="L173" i="2"/>
  <c r="Q173" i="2" s="1"/>
  <c r="L78" i="2"/>
  <c r="Q78" i="2" s="1"/>
  <c r="K1675" i="2"/>
  <c r="K1628" i="2"/>
  <c r="K1515" i="2"/>
  <c r="K1449" i="2"/>
  <c r="K1384" i="2"/>
  <c r="K1293" i="2"/>
  <c r="K1221" i="2"/>
  <c r="K994" i="2"/>
  <c r="K797" i="2"/>
  <c r="K644" i="2"/>
  <c r="O644" i="2" s="1"/>
  <c r="K467" i="2"/>
  <c r="K372" i="2"/>
  <c r="K228" i="2"/>
  <c r="K122" i="2"/>
  <c r="L1383" i="2"/>
  <c r="Q1383" i="2" s="1"/>
  <c r="K297" i="2"/>
  <c r="L297" i="2"/>
  <c r="Q297" i="2" s="1"/>
  <c r="K265" i="2"/>
  <c r="L265" i="2"/>
  <c r="Q265" i="2" s="1"/>
  <c r="K169" i="2"/>
  <c r="L169" i="2"/>
  <c r="Q169" i="2" s="1"/>
  <c r="K14" i="2"/>
  <c r="L14" i="2"/>
  <c r="Q14" i="2" s="1"/>
  <c r="L1692" i="2"/>
  <c r="Q1692" i="2" s="1"/>
  <c r="L1660" i="2"/>
  <c r="L1596" i="2"/>
  <c r="L1564" i="2"/>
  <c r="Q1564" i="2" s="1"/>
  <c r="L1532" i="2"/>
  <c r="Q1532" i="2" s="1"/>
  <c r="L1499" i="2"/>
  <c r="Q1499" i="2" s="1"/>
  <c r="L1466" i="2"/>
  <c r="Q1466" i="2" s="1"/>
  <c r="L1433" i="2"/>
  <c r="Q1433" i="2" s="1"/>
  <c r="L1400" i="2"/>
  <c r="Q1400" i="2" s="1"/>
  <c r="L1366" i="2"/>
  <c r="Q1366" i="2" s="1"/>
  <c r="L1305" i="2"/>
  <c r="Q1305" i="2" s="1"/>
  <c r="L1271" i="2"/>
  <c r="Q1271" i="2" s="1"/>
  <c r="L1235" i="2"/>
  <c r="Q1235" i="2" s="1"/>
  <c r="L1201" i="2"/>
  <c r="Q1201" i="2" s="1"/>
  <c r="L1133" i="2"/>
  <c r="Q1133" i="2" s="1"/>
  <c r="L1065" i="2"/>
  <c r="Q1065" i="2" s="1"/>
  <c r="L1030" i="2"/>
  <c r="Q1030" i="2" s="1"/>
  <c r="L960" i="2"/>
  <c r="Q960" i="2" s="1"/>
  <c r="L925" i="2"/>
  <c r="Q925" i="2" s="1"/>
  <c r="L872" i="2"/>
  <c r="Q872" i="2" s="1"/>
  <c r="L764" i="2"/>
  <c r="L727" i="2"/>
  <c r="Q727" i="2" s="1"/>
  <c r="L691" i="2"/>
  <c r="L654" i="2"/>
  <c r="Q654" i="2" s="1"/>
  <c r="L617" i="2"/>
  <c r="Q617" i="2" s="1"/>
  <c r="L580" i="2"/>
  <c r="Q580" i="2" s="1"/>
  <c r="L542" i="2"/>
  <c r="Q542" i="2" s="1"/>
  <c r="L506" i="2"/>
  <c r="L428" i="2"/>
  <c r="Q428" i="2" s="1"/>
  <c r="L390" i="2"/>
  <c r="Q390" i="2" s="1"/>
  <c r="L349" i="2"/>
  <c r="Q349" i="2" s="1"/>
  <c r="L308" i="2"/>
  <c r="Q308" i="2" s="1"/>
  <c r="L214" i="2"/>
  <c r="Q214" i="2" s="1"/>
  <c r="L172" i="2"/>
  <c r="Q172" i="2" s="1"/>
  <c r="L77" i="2"/>
  <c r="Q77" i="2" s="1"/>
  <c r="L25" i="2"/>
  <c r="Q25" i="2" s="1"/>
  <c r="K1674" i="2"/>
  <c r="K1627" i="2"/>
  <c r="K1514" i="2"/>
  <c r="K1448" i="2"/>
  <c r="K1377" i="2"/>
  <c r="K1292" i="2"/>
  <c r="O1292" i="2" s="1"/>
  <c r="K1142" i="2"/>
  <c r="K990" i="2"/>
  <c r="O990" i="2" s="1"/>
  <c r="K796" i="2"/>
  <c r="K643" i="2"/>
  <c r="K466" i="2"/>
  <c r="K227" i="2"/>
  <c r="K121" i="2"/>
  <c r="K602" i="2"/>
  <c r="K296" i="2"/>
  <c r="L296" i="2"/>
  <c r="Q296" i="2" s="1"/>
  <c r="K264" i="2"/>
  <c r="L264" i="2"/>
  <c r="Q264" i="2" s="1"/>
  <c r="K200" i="2"/>
  <c r="O200" i="2" s="1"/>
  <c r="L200" i="2"/>
  <c r="K13" i="2"/>
  <c r="L13" i="2"/>
  <c r="Q13" i="2" s="1"/>
  <c r="L1659" i="2"/>
  <c r="L1595" i="2"/>
  <c r="Q1595" i="2" s="1"/>
  <c r="L1563" i="2"/>
  <c r="Q1563" i="2" s="1"/>
  <c r="L1531" i="2"/>
  <c r="Q1531" i="2" s="1"/>
  <c r="L1498" i="2"/>
  <c r="Q1498" i="2" s="1"/>
  <c r="L1465" i="2"/>
  <c r="Q1465" i="2" s="1"/>
  <c r="L1432" i="2"/>
  <c r="Q1432" i="2" s="1"/>
  <c r="L1399" i="2"/>
  <c r="Q1399" i="2" s="1"/>
  <c r="L1365" i="2"/>
  <c r="Q1365" i="2" s="1"/>
  <c r="L1304" i="2"/>
  <c r="Q1304" i="2" s="1"/>
  <c r="L1269" i="2"/>
  <c r="Q1269" i="2" s="1"/>
  <c r="L1234" i="2"/>
  <c r="Q1234" i="2" s="1"/>
  <c r="L1200" i="2"/>
  <c r="Q1200" i="2" s="1"/>
  <c r="L1166" i="2"/>
  <c r="Q1166" i="2" s="1"/>
  <c r="L1132" i="2"/>
  <c r="Q1132" i="2" s="1"/>
  <c r="L1064" i="2"/>
  <c r="Q1064" i="2" s="1"/>
  <c r="L1029" i="2"/>
  <c r="Q1029" i="2" s="1"/>
  <c r="L959" i="2"/>
  <c r="Q959" i="2" s="1"/>
  <c r="L924" i="2"/>
  <c r="Q924" i="2" s="1"/>
  <c r="L871" i="2"/>
  <c r="Q871" i="2" s="1"/>
  <c r="L836" i="2"/>
  <c r="Q836" i="2" s="1"/>
  <c r="L762" i="2"/>
  <c r="Q762" i="2" s="1"/>
  <c r="L726" i="2"/>
  <c r="Q726" i="2" s="1"/>
  <c r="L690" i="2"/>
  <c r="Q690" i="2" s="1"/>
  <c r="L653" i="2"/>
  <c r="L616" i="2"/>
  <c r="Q616" i="2" s="1"/>
  <c r="L579" i="2"/>
  <c r="Q579" i="2" s="1"/>
  <c r="L541" i="2"/>
  <c r="Q541" i="2" s="1"/>
  <c r="L505" i="2"/>
  <c r="Q505" i="2" s="1"/>
  <c r="L427" i="2"/>
  <c r="Q427" i="2" s="1"/>
  <c r="L389" i="2"/>
  <c r="Q389" i="2" s="1"/>
  <c r="L348" i="2"/>
  <c r="Q348" i="2" s="1"/>
  <c r="L307" i="2"/>
  <c r="Q307" i="2" s="1"/>
  <c r="L256" i="2"/>
  <c r="L213" i="2"/>
  <c r="Q213" i="2" s="1"/>
  <c r="L171" i="2"/>
  <c r="Q171" i="2" s="1"/>
  <c r="L76" i="2"/>
  <c r="Q76" i="2" s="1"/>
  <c r="L24" i="2"/>
  <c r="Q24" i="2" s="1"/>
  <c r="K1673" i="2"/>
  <c r="K1625" i="2"/>
  <c r="K1513" i="2"/>
  <c r="K1447" i="2"/>
  <c r="K1291" i="2"/>
  <c r="K1219" i="2"/>
  <c r="K984" i="2"/>
  <c r="K795" i="2"/>
  <c r="K642" i="2"/>
  <c r="K444" i="2"/>
  <c r="O444" i="2" s="1"/>
  <c r="K342" i="2"/>
  <c r="K226" i="2"/>
  <c r="O226" i="2" s="1"/>
  <c r="Q226" i="2" s="1"/>
  <c r="L186" i="2"/>
  <c r="Q186" i="2" s="1"/>
  <c r="K186" i="2"/>
  <c r="K295" i="2"/>
  <c r="L295" i="2"/>
  <c r="Q295" i="2" s="1"/>
  <c r="K263" i="2"/>
  <c r="L263" i="2"/>
  <c r="Q263" i="2" s="1"/>
  <c r="K12" i="2"/>
  <c r="L12" i="2"/>
  <c r="Q12" i="2" s="1"/>
  <c r="L1690" i="2"/>
  <c r="Q1690" i="2" s="1"/>
  <c r="L1658" i="2"/>
  <c r="Q1658" i="2" s="1"/>
  <c r="L1626" i="2"/>
  <c r="Q1626" i="2" s="1"/>
  <c r="L1594" i="2"/>
  <c r="Q1594" i="2" s="1"/>
  <c r="L1562" i="2"/>
  <c r="Q1562" i="2" s="1"/>
  <c r="L1530" i="2"/>
  <c r="Q1530" i="2" s="1"/>
  <c r="L1497" i="2"/>
  <c r="Q1497" i="2" s="1"/>
  <c r="L1464" i="2"/>
  <c r="L1431" i="2"/>
  <c r="Q1431" i="2" s="1"/>
  <c r="L1398" i="2"/>
  <c r="Q1398" i="2" s="1"/>
  <c r="L1364" i="2"/>
  <c r="Q1364" i="2" s="1"/>
  <c r="L1303" i="2"/>
  <c r="Q1303" i="2" s="1"/>
  <c r="L1267" i="2"/>
  <c r="L1233" i="2"/>
  <c r="Q1233" i="2" s="1"/>
  <c r="L1199" i="2"/>
  <c r="Q1199" i="2" s="1"/>
  <c r="L1165" i="2"/>
  <c r="Q1165" i="2" s="1"/>
  <c r="L1131" i="2"/>
  <c r="Q1131" i="2" s="1"/>
  <c r="L1063" i="2"/>
  <c r="L993" i="2"/>
  <c r="Q993" i="2" s="1"/>
  <c r="L958" i="2"/>
  <c r="Q958" i="2" s="1"/>
  <c r="L923" i="2"/>
  <c r="Q923" i="2" s="1"/>
  <c r="L870" i="2"/>
  <c r="Q870" i="2" s="1"/>
  <c r="L835" i="2"/>
  <c r="Q835" i="2" s="1"/>
  <c r="L760" i="2"/>
  <c r="Q760" i="2" s="1"/>
  <c r="L725" i="2"/>
  <c r="L689" i="2"/>
  <c r="Q689" i="2" s="1"/>
  <c r="L652" i="2"/>
  <c r="Q652" i="2" s="1"/>
  <c r="L615" i="2"/>
  <c r="L577" i="2"/>
  <c r="Q577" i="2" s="1"/>
  <c r="L540" i="2"/>
  <c r="Q540" i="2" s="1"/>
  <c r="L504" i="2"/>
  <c r="Q504" i="2" s="1"/>
  <c r="L463" i="2"/>
  <c r="Q463" i="2" s="1"/>
  <c r="L426" i="2"/>
  <c r="Q426" i="2" s="1"/>
  <c r="L388" i="2"/>
  <c r="Q388" i="2" s="1"/>
  <c r="L347" i="2"/>
  <c r="Q347" i="2" s="1"/>
  <c r="L306" i="2"/>
  <c r="Q306" i="2" s="1"/>
  <c r="L255" i="2"/>
  <c r="Q255" i="2" s="1"/>
  <c r="L212" i="2"/>
  <c r="L170" i="2"/>
  <c r="Q170" i="2" s="1"/>
  <c r="L113" i="2"/>
  <c r="L75" i="2"/>
  <c r="Q75" i="2" s="1"/>
  <c r="L22" i="2"/>
  <c r="Q22" i="2" s="1"/>
  <c r="K1672" i="2"/>
  <c r="K1619" i="2"/>
  <c r="K1512" i="2"/>
  <c r="K1446" i="2"/>
  <c r="K1287" i="2"/>
  <c r="O1287" i="2" s="1"/>
  <c r="K1218" i="2"/>
  <c r="K1140" i="2"/>
  <c r="K983" i="2"/>
  <c r="K883" i="2"/>
  <c r="K794" i="2"/>
  <c r="K641" i="2"/>
  <c r="K341" i="2"/>
  <c r="K225" i="2"/>
  <c r="K119" i="2"/>
  <c r="O119" i="2" s="1"/>
  <c r="Q119" i="2" s="1"/>
  <c r="L294" i="2"/>
  <c r="Q294" i="2" s="1"/>
  <c r="K294" i="2"/>
  <c r="L1689" i="2"/>
  <c r="Q1689" i="2" s="1"/>
  <c r="L1657" i="2"/>
  <c r="Q1657" i="2" s="1"/>
  <c r="L1593" i="2"/>
  <c r="Q1593" i="2" s="1"/>
  <c r="L1561" i="2"/>
  <c r="Q1561" i="2" s="1"/>
  <c r="L1496" i="2"/>
  <c r="Q1496" i="2" s="1"/>
  <c r="L1463" i="2"/>
  <c r="Q1463" i="2" s="1"/>
  <c r="L1430" i="2"/>
  <c r="Q1430" i="2" s="1"/>
  <c r="L1397" i="2"/>
  <c r="L1363" i="2"/>
  <c r="Q1363" i="2" s="1"/>
  <c r="L1266" i="2"/>
  <c r="Q1266" i="2" s="1"/>
  <c r="L1232" i="2"/>
  <c r="Q1232" i="2" s="1"/>
  <c r="L1198" i="2"/>
  <c r="Q1198" i="2" s="1"/>
  <c r="L1164" i="2"/>
  <c r="Q1164" i="2" s="1"/>
  <c r="L1130" i="2"/>
  <c r="Q1130" i="2" s="1"/>
  <c r="L1062" i="2"/>
  <c r="L992" i="2"/>
  <c r="Q992" i="2" s="1"/>
  <c r="L957" i="2"/>
  <c r="Q957" i="2" s="1"/>
  <c r="L922" i="2"/>
  <c r="Q922" i="2" s="1"/>
  <c r="L869" i="2"/>
  <c r="Q869" i="2" s="1"/>
  <c r="L833" i="2"/>
  <c r="Q833" i="2" s="1"/>
  <c r="L724" i="2"/>
  <c r="Q724" i="2" s="1"/>
  <c r="L688" i="2"/>
  <c r="Q688" i="2" s="1"/>
  <c r="L651" i="2"/>
  <c r="Q651" i="2" s="1"/>
  <c r="L614" i="2"/>
  <c r="Q614" i="2" s="1"/>
  <c r="L576" i="2"/>
  <c r="Q576" i="2" s="1"/>
  <c r="L539" i="2"/>
  <c r="Q539" i="2" s="1"/>
  <c r="L503" i="2"/>
  <c r="Q503" i="2" s="1"/>
  <c r="L462" i="2"/>
  <c r="Q462" i="2" s="1"/>
  <c r="L425" i="2"/>
  <c r="Q425" i="2" s="1"/>
  <c r="L385" i="2"/>
  <c r="Q385" i="2" s="1"/>
  <c r="L346" i="2"/>
  <c r="Q346" i="2" s="1"/>
  <c r="L305" i="2"/>
  <c r="Q305" i="2" s="1"/>
  <c r="L254" i="2"/>
  <c r="Q254" i="2" s="1"/>
  <c r="L211" i="2"/>
  <c r="Q211" i="2" s="1"/>
  <c r="L168" i="2"/>
  <c r="L112" i="2"/>
  <c r="Q112" i="2" s="1"/>
  <c r="L73" i="2"/>
  <c r="Q73" i="2" s="1"/>
  <c r="L20" i="2"/>
  <c r="Q20" i="2" s="1"/>
  <c r="K1671" i="2"/>
  <c r="K1511" i="2"/>
  <c r="K1445" i="2"/>
  <c r="K1217" i="2"/>
  <c r="K982" i="2"/>
  <c r="K640" i="2"/>
  <c r="K536" i="2"/>
  <c r="K340" i="2"/>
  <c r="K224" i="2"/>
  <c r="K118" i="2"/>
  <c r="O118" i="2" s="1"/>
  <c r="Q118" i="2" s="1"/>
  <c r="L229" i="2"/>
  <c r="Q229" i="2" s="1"/>
  <c r="K229" i="2"/>
  <c r="L197" i="2"/>
  <c r="Q197" i="2" s="1"/>
  <c r="K197" i="2"/>
  <c r="K133" i="2"/>
  <c r="L133" i="2"/>
  <c r="Q133" i="2" s="1"/>
  <c r="L74" i="2"/>
  <c r="Q74" i="2" s="1"/>
  <c r="K74" i="2"/>
  <c r="L42" i="2"/>
  <c r="Q42" i="2" s="1"/>
  <c r="K42" i="2"/>
  <c r="L10" i="2"/>
  <c r="Q10" i="2" s="1"/>
  <c r="L1688" i="2"/>
  <c r="Q1688" i="2" s="1"/>
  <c r="L1656" i="2"/>
  <c r="Q1656" i="2" s="1"/>
  <c r="L1624" i="2"/>
  <c r="L1592" i="2"/>
  <c r="Q1592" i="2" s="1"/>
  <c r="L1560" i="2"/>
  <c r="Q1560" i="2" s="1"/>
  <c r="L1528" i="2"/>
  <c r="Q1528" i="2" s="1"/>
  <c r="L1495" i="2"/>
  <c r="Q1495" i="2" s="1"/>
  <c r="L1462" i="2"/>
  <c r="Q1462" i="2" s="1"/>
  <c r="L1429" i="2"/>
  <c r="Q1429" i="2" s="1"/>
  <c r="L1396" i="2"/>
  <c r="Q1396" i="2" s="1"/>
  <c r="L1362" i="2"/>
  <c r="Q1362" i="2" s="1"/>
  <c r="L1265" i="2"/>
  <c r="Q1265" i="2" s="1"/>
  <c r="L1231" i="2"/>
  <c r="Q1231" i="2" s="1"/>
  <c r="L1197" i="2"/>
  <c r="Q1197" i="2" s="1"/>
  <c r="L1163" i="2"/>
  <c r="Q1163" i="2" s="1"/>
  <c r="L1129" i="2"/>
  <c r="Q1129" i="2" s="1"/>
  <c r="L1061" i="2"/>
  <c r="Q1061" i="2" s="1"/>
  <c r="L991" i="2"/>
  <c r="Q991" i="2" s="1"/>
  <c r="L956" i="2"/>
  <c r="Q956" i="2" s="1"/>
  <c r="L921" i="2"/>
  <c r="Q921" i="2" s="1"/>
  <c r="L868" i="2"/>
  <c r="Q868" i="2" s="1"/>
  <c r="L832" i="2"/>
  <c r="Q832" i="2" s="1"/>
  <c r="L793" i="2"/>
  <c r="Q793" i="2" s="1"/>
  <c r="L758" i="2"/>
  <c r="Q758" i="2" s="1"/>
  <c r="L723" i="2"/>
  <c r="Q723" i="2" s="1"/>
  <c r="L687" i="2"/>
  <c r="Q687" i="2" s="1"/>
  <c r="L650" i="2"/>
  <c r="Q650" i="2" s="1"/>
  <c r="L613" i="2"/>
  <c r="Q613" i="2" s="1"/>
  <c r="L575" i="2"/>
  <c r="Q575" i="2" s="1"/>
  <c r="L538" i="2"/>
  <c r="Q538" i="2" s="1"/>
  <c r="L502" i="2"/>
  <c r="Q502" i="2" s="1"/>
  <c r="L461" i="2"/>
  <c r="Q461" i="2" s="1"/>
  <c r="L424" i="2"/>
  <c r="Q424" i="2" s="1"/>
  <c r="L384" i="2"/>
  <c r="Q384" i="2" s="1"/>
  <c r="L345" i="2"/>
  <c r="Q345" i="2" s="1"/>
  <c r="L304" i="2"/>
  <c r="Q304" i="2" s="1"/>
  <c r="L253" i="2"/>
  <c r="Q253" i="2" s="1"/>
  <c r="L210" i="2"/>
  <c r="Q210" i="2" s="1"/>
  <c r="L167" i="2"/>
  <c r="L111" i="2"/>
  <c r="Q111" i="2" s="1"/>
  <c r="L69" i="2"/>
  <c r="Q69" i="2" s="1"/>
  <c r="L18" i="2"/>
  <c r="Q18" i="2" s="1"/>
  <c r="K1444" i="2"/>
  <c r="O1444" i="2" s="1"/>
  <c r="K1268" i="2"/>
  <c r="K1216" i="2"/>
  <c r="K981" i="2"/>
  <c r="K639" i="2"/>
  <c r="O639" i="2" s="1"/>
  <c r="K529" i="2"/>
  <c r="K339" i="2"/>
  <c r="K223" i="2"/>
  <c r="K117" i="2"/>
  <c r="L1393" i="2"/>
  <c r="Q1393" i="2" s="1"/>
  <c r="K1393" i="2"/>
  <c r="K1270" i="2"/>
  <c r="L1270" i="2"/>
  <c r="Q1270" i="2" s="1"/>
  <c r="L1238" i="2"/>
  <c r="Q1238" i="2" s="1"/>
  <c r="K1238" i="2"/>
  <c r="L1206" i="2"/>
  <c r="Q1206" i="2" s="1"/>
  <c r="K1206" i="2"/>
  <c r="L1078" i="2"/>
  <c r="Q1078" i="2" s="1"/>
  <c r="K1078" i="2"/>
  <c r="L1046" i="2"/>
  <c r="Q1046" i="2" s="1"/>
  <c r="K1046" i="2"/>
  <c r="L260" i="2"/>
  <c r="Q260" i="2" s="1"/>
  <c r="K260" i="2"/>
  <c r="L132" i="2"/>
  <c r="Q132" i="2" s="1"/>
  <c r="K132" i="2"/>
  <c r="L41" i="2"/>
  <c r="Q41" i="2" s="1"/>
  <c r="K41" i="2"/>
  <c r="L1687" i="2"/>
  <c r="Q1687" i="2" s="1"/>
  <c r="L1655" i="2"/>
  <c r="Q1655" i="2" s="1"/>
  <c r="L1623" i="2"/>
  <c r="Q1623" i="2" s="1"/>
  <c r="L1591" i="2"/>
  <c r="Q1591" i="2" s="1"/>
  <c r="L1559" i="2"/>
  <c r="Q1559" i="2" s="1"/>
  <c r="L1527" i="2"/>
  <c r="Q1527" i="2" s="1"/>
  <c r="L1494" i="2"/>
  <c r="Q1494" i="2" s="1"/>
  <c r="L1461" i="2"/>
  <c r="Q1461" i="2" s="1"/>
  <c r="L1428" i="2"/>
  <c r="Q1428" i="2" s="1"/>
  <c r="L1360" i="2"/>
  <c r="Q1360" i="2" s="1"/>
  <c r="L1264" i="2"/>
  <c r="Q1264" i="2" s="1"/>
  <c r="L1196" i="2"/>
  <c r="Q1196" i="2" s="1"/>
  <c r="L1162" i="2"/>
  <c r="L1128" i="2"/>
  <c r="Q1128" i="2" s="1"/>
  <c r="L1094" i="2"/>
  <c r="Q1094" i="2" s="1"/>
  <c r="L1060" i="2"/>
  <c r="Q1060" i="2" s="1"/>
  <c r="L1025" i="2"/>
  <c r="Q1025" i="2" s="1"/>
  <c r="L955" i="2"/>
  <c r="Q955" i="2" s="1"/>
  <c r="L920" i="2"/>
  <c r="Q920" i="2" s="1"/>
  <c r="L867" i="2"/>
  <c r="Q867" i="2" s="1"/>
  <c r="L831" i="2"/>
  <c r="Q831" i="2" s="1"/>
  <c r="L792" i="2"/>
  <c r="Q792" i="2" s="1"/>
  <c r="L757" i="2"/>
  <c r="Q757" i="2" s="1"/>
  <c r="L722" i="2"/>
  <c r="Q722" i="2" s="1"/>
  <c r="L686" i="2"/>
  <c r="Q686" i="2" s="1"/>
  <c r="L649" i="2"/>
  <c r="Q649" i="2" s="1"/>
  <c r="L612" i="2"/>
  <c r="Q612" i="2" s="1"/>
  <c r="L574" i="2"/>
  <c r="Q574" i="2" s="1"/>
  <c r="L537" i="2"/>
  <c r="Q537" i="2" s="1"/>
  <c r="L501" i="2"/>
  <c r="Q501" i="2" s="1"/>
  <c r="L460" i="2"/>
  <c r="L423" i="2"/>
  <c r="Q423" i="2" s="1"/>
  <c r="L383" i="2"/>
  <c r="Q383" i="2" s="1"/>
  <c r="L344" i="2"/>
  <c r="Q344" i="2" s="1"/>
  <c r="L303" i="2"/>
  <c r="Q303" i="2" s="1"/>
  <c r="L252" i="2"/>
  <c r="Q252" i="2" s="1"/>
  <c r="L209" i="2"/>
  <c r="L166" i="2"/>
  <c r="Q166" i="2" s="1"/>
  <c r="L110" i="2"/>
  <c r="Q110" i="2" s="1"/>
  <c r="L68" i="2"/>
  <c r="Q68" i="2" s="1"/>
  <c r="L11" i="2"/>
  <c r="Q11" i="2" s="1"/>
  <c r="K1616" i="2"/>
  <c r="K1214" i="2"/>
  <c r="K980" i="2"/>
  <c r="K528" i="2"/>
  <c r="K434" i="2"/>
  <c r="O434" i="2" s="1"/>
  <c r="K326" i="2"/>
  <c r="K222" i="2"/>
  <c r="K116" i="2"/>
  <c r="L1013" i="2"/>
  <c r="Q1013" i="2" s="1"/>
  <c r="K1013" i="2"/>
  <c r="L387" i="2"/>
  <c r="Q387" i="2" s="1"/>
  <c r="K387" i="2"/>
  <c r="L355" i="2"/>
  <c r="Q355" i="2" s="1"/>
  <c r="K355" i="2"/>
  <c r="L291" i="2"/>
  <c r="Q291" i="2" s="1"/>
  <c r="K291" i="2"/>
  <c r="L259" i="2"/>
  <c r="Q259" i="2" s="1"/>
  <c r="K259" i="2"/>
  <c r="L72" i="2"/>
  <c r="Q72" i="2" s="1"/>
  <c r="K72" i="2"/>
  <c r="L40" i="2"/>
  <c r="Q40" i="2" s="1"/>
  <c r="K40" i="2"/>
  <c r="L1718" i="2"/>
  <c r="Q1718" i="2" s="1"/>
  <c r="L1686" i="2"/>
  <c r="Q1686" i="2" s="1"/>
  <c r="L1654" i="2"/>
  <c r="Q1654" i="2" s="1"/>
  <c r="L1622" i="2"/>
  <c r="Q1622" i="2" s="1"/>
  <c r="L1590" i="2"/>
  <c r="Q1590" i="2" s="1"/>
  <c r="L1558" i="2"/>
  <c r="L1526" i="2"/>
  <c r="Q1526" i="2" s="1"/>
  <c r="L1493" i="2"/>
  <c r="Q1493" i="2" s="1"/>
  <c r="L1460" i="2"/>
  <c r="L1427" i="2"/>
  <c r="Q1427" i="2" s="1"/>
  <c r="L1358" i="2"/>
  <c r="L1263" i="2"/>
  <c r="Q1263" i="2" s="1"/>
  <c r="L1195" i="2"/>
  <c r="Q1195" i="2" s="1"/>
  <c r="L1127" i="2"/>
  <c r="Q1127" i="2" s="1"/>
  <c r="L1093" i="2"/>
  <c r="Q1093" i="2" s="1"/>
  <c r="L1059" i="2"/>
  <c r="Q1059" i="2" s="1"/>
  <c r="L1024" i="2"/>
  <c r="Q1024" i="2" s="1"/>
  <c r="L989" i="2"/>
  <c r="Q989" i="2" s="1"/>
  <c r="L954" i="2"/>
  <c r="Q954" i="2" s="1"/>
  <c r="L919" i="2"/>
  <c r="Q919" i="2" s="1"/>
  <c r="L865" i="2"/>
  <c r="Q865" i="2" s="1"/>
  <c r="L791" i="2"/>
  <c r="Q791" i="2" s="1"/>
  <c r="L756" i="2"/>
  <c r="Q756" i="2" s="1"/>
  <c r="L721" i="2"/>
  <c r="L685" i="2"/>
  <c r="Q685" i="2" s="1"/>
  <c r="L648" i="2"/>
  <c r="Q648" i="2" s="1"/>
  <c r="L611" i="2"/>
  <c r="L573" i="2"/>
  <c r="Q573" i="2" s="1"/>
  <c r="L496" i="2"/>
  <c r="Q496" i="2" s="1"/>
  <c r="L459" i="2"/>
  <c r="L422" i="2"/>
  <c r="Q422" i="2" s="1"/>
  <c r="L382" i="2"/>
  <c r="Q382" i="2" s="1"/>
  <c r="L343" i="2"/>
  <c r="Q343" i="2" s="1"/>
  <c r="L302" i="2"/>
  <c r="Q302" i="2" s="1"/>
  <c r="L251" i="2"/>
  <c r="Q251" i="2" s="1"/>
  <c r="L208" i="2"/>
  <c r="Q208" i="2" s="1"/>
  <c r="L162" i="2"/>
  <c r="Q162" i="2" s="1"/>
  <c r="L109" i="2"/>
  <c r="Q109" i="2" s="1"/>
  <c r="K1715" i="2"/>
  <c r="K1614" i="2"/>
  <c r="K1555" i="2"/>
  <c r="K979" i="2"/>
  <c r="K730" i="2"/>
  <c r="K518" i="2"/>
  <c r="K432" i="2"/>
  <c r="K325" i="2"/>
  <c r="K221" i="2"/>
  <c r="K115" i="2"/>
  <c r="L1455" i="2"/>
  <c r="Q1455" i="2" s="1"/>
  <c r="K1455" i="2"/>
  <c r="L1423" i="2"/>
  <c r="Q1423" i="2" s="1"/>
  <c r="K1423" i="2"/>
  <c r="L1391" i="2"/>
  <c r="Q1391" i="2" s="1"/>
  <c r="K1391" i="2"/>
  <c r="L1236" i="2"/>
  <c r="Q1236" i="2" s="1"/>
  <c r="K1236" i="2"/>
  <c r="L1204" i="2"/>
  <c r="Q1204" i="2" s="1"/>
  <c r="K1204" i="2"/>
  <c r="L1076" i="2"/>
  <c r="Q1076" i="2" s="1"/>
  <c r="K1076" i="2"/>
  <c r="L1044" i="2"/>
  <c r="Q1044" i="2" s="1"/>
  <c r="K1044" i="2"/>
  <c r="L1012" i="2"/>
  <c r="Q1012" i="2" s="1"/>
  <c r="K1012" i="2"/>
  <c r="L948" i="2"/>
  <c r="Q948" i="2" s="1"/>
  <c r="K948" i="2"/>
  <c r="L916" i="2"/>
  <c r="Q916" i="2" s="1"/>
  <c r="K916" i="2"/>
  <c r="L866" i="2"/>
  <c r="Q866" i="2" s="1"/>
  <c r="K866" i="2"/>
  <c r="L770" i="2"/>
  <c r="Q770" i="2" s="1"/>
  <c r="K770" i="2"/>
  <c r="L706" i="2"/>
  <c r="Q706" i="2" s="1"/>
  <c r="K706" i="2"/>
  <c r="L674" i="2"/>
  <c r="Q674" i="2" s="1"/>
  <c r="K674" i="2"/>
  <c r="L578" i="2"/>
  <c r="Q578" i="2" s="1"/>
  <c r="K578" i="2"/>
  <c r="L546" i="2"/>
  <c r="Q546" i="2" s="1"/>
  <c r="K546" i="2"/>
  <c r="L482" i="2"/>
  <c r="Q482" i="2" s="1"/>
  <c r="K482" i="2"/>
  <c r="L450" i="2"/>
  <c r="Q450" i="2" s="1"/>
  <c r="K450" i="2"/>
  <c r="L386" i="2"/>
  <c r="Q386" i="2" s="1"/>
  <c r="K386" i="2"/>
  <c r="L354" i="2"/>
  <c r="Q354" i="2" s="1"/>
  <c r="K354" i="2"/>
  <c r="L290" i="2"/>
  <c r="Q290" i="2" s="1"/>
  <c r="K290" i="2"/>
  <c r="L258" i="2"/>
  <c r="Q258" i="2" s="1"/>
  <c r="K258" i="2"/>
  <c r="L194" i="2"/>
  <c r="Q194" i="2" s="1"/>
  <c r="K194" i="2"/>
  <c r="L130" i="2"/>
  <c r="Q130" i="2" s="1"/>
  <c r="K130" i="2"/>
  <c r="L71" i="2"/>
  <c r="Q71" i="2" s="1"/>
  <c r="K71" i="2"/>
  <c r="L39" i="2"/>
  <c r="Q39" i="2" s="1"/>
  <c r="K39" i="2"/>
  <c r="L1717" i="2"/>
  <c r="Q1717" i="2" s="1"/>
  <c r="L1685" i="2"/>
  <c r="Q1685" i="2" s="1"/>
  <c r="L1653" i="2"/>
  <c r="Q1653" i="2" s="1"/>
  <c r="L1621" i="2"/>
  <c r="L1589" i="2"/>
  <c r="Q1589" i="2" s="1"/>
  <c r="L1557" i="2"/>
  <c r="Q1557" i="2" s="1"/>
  <c r="L1525" i="2"/>
  <c r="Q1525" i="2" s="1"/>
  <c r="L1492" i="2"/>
  <c r="Q1492" i="2" s="1"/>
  <c r="L1426" i="2"/>
  <c r="Q1426" i="2" s="1"/>
  <c r="L1392" i="2"/>
  <c r="Q1392" i="2" s="1"/>
  <c r="L1357" i="2"/>
  <c r="L1262" i="2"/>
  <c r="Q1262" i="2" s="1"/>
  <c r="L1194" i="2"/>
  <c r="Q1194" i="2" s="1"/>
  <c r="L1160" i="2"/>
  <c r="Q1160" i="2" s="1"/>
  <c r="L1126" i="2"/>
  <c r="Q1126" i="2" s="1"/>
  <c r="L1092" i="2"/>
  <c r="Q1092" i="2" s="1"/>
  <c r="L1058" i="2"/>
  <c r="Q1058" i="2" s="1"/>
  <c r="L1023" i="2"/>
  <c r="Q1023" i="2" s="1"/>
  <c r="L988" i="2"/>
  <c r="L953" i="2"/>
  <c r="Q953" i="2" s="1"/>
  <c r="L918" i="2"/>
  <c r="Q918" i="2" s="1"/>
  <c r="L864" i="2"/>
  <c r="Q864" i="2" s="1"/>
  <c r="L790" i="2"/>
  <c r="Q790" i="2" s="1"/>
  <c r="L755" i="2"/>
  <c r="Q755" i="2" s="1"/>
  <c r="L720" i="2"/>
  <c r="Q720" i="2" s="1"/>
  <c r="L684" i="2"/>
  <c r="L647" i="2"/>
  <c r="Q647" i="2" s="1"/>
  <c r="L609" i="2"/>
  <c r="Q609" i="2" s="1"/>
  <c r="L572" i="2"/>
  <c r="Q572" i="2" s="1"/>
  <c r="L535" i="2"/>
  <c r="Q535" i="2" s="1"/>
  <c r="L495" i="2"/>
  <c r="Q495" i="2" s="1"/>
  <c r="L458" i="2"/>
  <c r="L421" i="2"/>
  <c r="Q421" i="2" s="1"/>
  <c r="L301" i="2"/>
  <c r="Q301" i="2" s="1"/>
  <c r="L250" i="2"/>
  <c r="Q250" i="2" s="1"/>
  <c r="L207" i="2"/>
  <c r="Q207" i="2" s="1"/>
  <c r="L108" i="2"/>
  <c r="Q108" i="2" s="1"/>
  <c r="L66" i="2"/>
  <c r="Q66" i="2" s="1"/>
  <c r="K1714" i="2"/>
  <c r="K1612" i="2"/>
  <c r="K1554" i="2"/>
  <c r="K610" i="2"/>
  <c r="K517" i="2"/>
  <c r="K324" i="2"/>
  <c r="L1043" i="2"/>
  <c r="Q1043" i="2" s="1"/>
  <c r="K1043" i="2"/>
  <c r="L257" i="2"/>
  <c r="Q257" i="2" s="1"/>
  <c r="K257" i="2"/>
  <c r="L193" i="2"/>
  <c r="K193" i="2"/>
  <c r="O193" i="2" s="1"/>
  <c r="L129" i="2"/>
  <c r="Q129" i="2" s="1"/>
  <c r="K129" i="2"/>
  <c r="L96" i="2"/>
  <c r="Q96" i="2" s="1"/>
  <c r="K96" i="2"/>
  <c r="L38" i="2"/>
  <c r="Q38" i="2" s="1"/>
  <c r="K38" i="2"/>
  <c r="L1716" i="2"/>
  <c r="Q1716" i="2" s="1"/>
  <c r="L1684" i="2"/>
  <c r="Q1684" i="2" s="1"/>
  <c r="L1652" i="2"/>
  <c r="Q1652" i="2" s="1"/>
  <c r="L1620" i="2"/>
  <c r="Q1620" i="2" s="1"/>
  <c r="L1588" i="2"/>
  <c r="Q1588" i="2" s="1"/>
  <c r="L1556" i="2"/>
  <c r="L1524" i="2"/>
  <c r="Q1524" i="2" s="1"/>
  <c r="L1491" i="2"/>
  <c r="Q1491" i="2" s="1"/>
  <c r="L1458" i="2"/>
  <c r="Q1458" i="2" s="1"/>
  <c r="L1425" i="2"/>
  <c r="Q1425" i="2" s="1"/>
  <c r="L1261" i="2"/>
  <c r="Q1261" i="2" s="1"/>
  <c r="L1193" i="2"/>
  <c r="L1159" i="2"/>
  <c r="Q1159" i="2" s="1"/>
  <c r="L1125" i="2"/>
  <c r="Q1125" i="2" s="1"/>
  <c r="L1057" i="2"/>
  <c r="Q1057" i="2" s="1"/>
  <c r="L987" i="2"/>
  <c r="Q987" i="2" s="1"/>
  <c r="L952" i="2"/>
  <c r="Q952" i="2" s="1"/>
  <c r="L917" i="2"/>
  <c r="Q917" i="2" s="1"/>
  <c r="L863" i="2"/>
  <c r="Q863" i="2" s="1"/>
  <c r="L826" i="2"/>
  <c r="Q826" i="2" s="1"/>
  <c r="L789" i="2"/>
  <c r="Q789" i="2" s="1"/>
  <c r="L754" i="2"/>
  <c r="Q754" i="2" s="1"/>
  <c r="L719" i="2"/>
  <c r="Q719" i="2" s="1"/>
  <c r="L683" i="2"/>
  <c r="Q683" i="2" s="1"/>
  <c r="L608" i="2"/>
  <c r="L571" i="2"/>
  <c r="Q571" i="2" s="1"/>
  <c r="L534" i="2"/>
  <c r="Q534" i="2" s="1"/>
  <c r="L494" i="2"/>
  <c r="Q494" i="2" s="1"/>
  <c r="L457" i="2"/>
  <c r="Q457" i="2" s="1"/>
  <c r="L420" i="2"/>
  <c r="Q420" i="2" s="1"/>
  <c r="L206" i="2"/>
  <c r="Q206" i="2" s="1"/>
  <c r="L107" i="2"/>
  <c r="Q107" i="2" s="1"/>
  <c r="L65" i="2"/>
  <c r="Q65" i="2" s="1"/>
  <c r="K1713" i="2"/>
  <c r="K1553" i="2"/>
  <c r="K1489" i="2"/>
  <c r="K1192" i="2"/>
  <c r="K977" i="2"/>
  <c r="K323" i="2"/>
  <c r="K99" i="2"/>
  <c r="L1010" i="2"/>
  <c r="Q1010" i="2" s="1"/>
  <c r="K1010" i="2"/>
  <c r="L128" i="2"/>
  <c r="Q128" i="2" s="1"/>
  <c r="K128" i="2"/>
  <c r="L1683" i="2"/>
  <c r="Q1683" i="2" s="1"/>
  <c r="L1587" i="2"/>
  <c r="Q1587" i="2" s="1"/>
  <c r="L1490" i="2"/>
  <c r="Q1490" i="2" s="1"/>
  <c r="L1457" i="2"/>
  <c r="L1424" i="2"/>
  <c r="Q1424" i="2" s="1"/>
  <c r="L1389" i="2"/>
  <c r="Q1389" i="2" s="1"/>
  <c r="L1328" i="2"/>
  <c r="Q1328" i="2" s="1"/>
  <c r="L1260" i="2"/>
  <c r="Q1260" i="2" s="1"/>
  <c r="L1158" i="2"/>
  <c r="Q1158" i="2" s="1"/>
  <c r="L1124" i="2"/>
  <c r="Q1124" i="2" s="1"/>
  <c r="L1090" i="2"/>
  <c r="Q1090" i="2" s="1"/>
  <c r="L1056" i="2"/>
  <c r="Q1056" i="2" s="1"/>
  <c r="L1021" i="2"/>
  <c r="Q1021" i="2" s="1"/>
  <c r="L986" i="2"/>
  <c r="Q986" i="2" s="1"/>
  <c r="L951" i="2"/>
  <c r="Q951" i="2" s="1"/>
  <c r="L915" i="2"/>
  <c r="Q915" i="2" s="1"/>
  <c r="L861" i="2"/>
  <c r="Q861" i="2" s="1"/>
  <c r="L825" i="2"/>
  <c r="Q825" i="2" s="1"/>
  <c r="L753" i="2"/>
  <c r="Q753" i="2" s="1"/>
  <c r="L718" i="2"/>
  <c r="L682" i="2"/>
  <c r="Q682" i="2" s="1"/>
  <c r="L607" i="2"/>
  <c r="Q607" i="2" s="1"/>
  <c r="L570" i="2"/>
  <c r="Q570" i="2" s="1"/>
  <c r="L533" i="2"/>
  <c r="Q533" i="2" s="1"/>
  <c r="L493" i="2"/>
  <c r="L456" i="2"/>
  <c r="Q456" i="2" s="1"/>
  <c r="L419" i="2"/>
  <c r="Q419" i="2" s="1"/>
  <c r="L292" i="2"/>
  <c r="Q292" i="2" s="1"/>
  <c r="L248" i="2"/>
  <c r="Q248" i="2" s="1"/>
  <c r="L205" i="2"/>
  <c r="L106" i="2"/>
  <c r="Q106" i="2" s="1"/>
  <c r="L63" i="2"/>
  <c r="Q63" i="2" s="1"/>
  <c r="K1712" i="2"/>
  <c r="K1552" i="2"/>
  <c r="K1488" i="2"/>
  <c r="K1191" i="2"/>
  <c r="K976" i="2"/>
  <c r="K322" i="2"/>
  <c r="K98" i="2"/>
  <c r="L913" i="2"/>
  <c r="Q913" i="2" s="1"/>
  <c r="K913" i="2"/>
  <c r="L191" i="2"/>
  <c r="Q191" i="2" s="1"/>
  <c r="K191" i="2"/>
  <c r="K94" i="2"/>
  <c r="L94" i="2"/>
  <c r="Q94" i="2" s="1"/>
  <c r="L1682" i="2"/>
  <c r="Q1682" i="2" s="1"/>
  <c r="L1650" i="2"/>
  <c r="Q1650" i="2" s="1"/>
  <c r="L1456" i="2"/>
  <c r="Q1456" i="2" s="1"/>
  <c r="L1422" i="2"/>
  <c r="Q1422" i="2" s="1"/>
  <c r="L1388" i="2"/>
  <c r="Q1388" i="2" s="1"/>
  <c r="L1327" i="2"/>
  <c r="Q1327" i="2" s="1"/>
  <c r="L1259" i="2"/>
  <c r="Q1259" i="2" s="1"/>
  <c r="L1157" i="2"/>
  <c r="Q1157" i="2" s="1"/>
  <c r="L1123" i="2"/>
  <c r="Q1123" i="2" s="1"/>
  <c r="L1089" i="2"/>
  <c r="Q1089" i="2" s="1"/>
  <c r="L1055" i="2"/>
  <c r="Q1055" i="2" s="1"/>
  <c r="L1020" i="2"/>
  <c r="Q1020" i="2" s="1"/>
  <c r="L985" i="2"/>
  <c r="Q985" i="2" s="1"/>
  <c r="L950" i="2"/>
  <c r="Q950" i="2" s="1"/>
  <c r="L859" i="2"/>
  <c r="Q859" i="2" s="1"/>
  <c r="L824" i="2"/>
  <c r="Q824" i="2" s="1"/>
  <c r="L787" i="2"/>
  <c r="Q787" i="2" s="1"/>
  <c r="L717" i="2"/>
  <c r="Q717" i="2" s="1"/>
  <c r="L681" i="2"/>
  <c r="Q681" i="2" s="1"/>
  <c r="L606" i="2"/>
  <c r="Q606" i="2" s="1"/>
  <c r="L492" i="2"/>
  <c r="Q492" i="2" s="1"/>
  <c r="L455" i="2"/>
  <c r="Q455" i="2" s="1"/>
  <c r="L417" i="2"/>
  <c r="Q417" i="2" s="1"/>
  <c r="L289" i="2"/>
  <c r="Q289" i="2" s="1"/>
  <c r="L247" i="2"/>
  <c r="Q247" i="2" s="1"/>
  <c r="L204" i="2"/>
  <c r="Q204" i="2" s="1"/>
  <c r="L105" i="2"/>
  <c r="Q105" i="2" s="1"/>
  <c r="L62" i="2"/>
  <c r="Q62" i="2" s="1"/>
  <c r="K1711" i="2"/>
  <c r="K1551" i="2"/>
  <c r="O1551" i="2" s="1"/>
  <c r="K1487" i="2"/>
  <c r="K1361" i="2"/>
  <c r="K1190" i="2"/>
  <c r="K975" i="2"/>
  <c r="K856" i="2"/>
  <c r="K321" i="2"/>
  <c r="K97" i="2"/>
  <c r="L862" i="2"/>
  <c r="Q862" i="2" s="1"/>
  <c r="K862" i="2"/>
  <c r="L1681" i="2"/>
  <c r="Q1681" i="2" s="1"/>
  <c r="L1649" i="2"/>
  <c r="Q1649" i="2" s="1"/>
  <c r="L1454" i="2"/>
  <c r="Q1454" i="2" s="1"/>
  <c r="L1421" i="2"/>
  <c r="Q1421" i="2" s="1"/>
  <c r="L1387" i="2"/>
  <c r="Q1387" i="2" s="1"/>
  <c r="L1326" i="2"/>
  <c r="Q1326" i="2" s="1"/>
  <c r="L1258" i="2"/>
  <c r="Q1258" i="2" s="1"/>
  <c r="L1156" i="2"/>
  <c r="Q1156" i="2" s="1"/>
  <c r="L1122" i="2"/>
  <c r="Q1122" i="2" s="1"/>
  <c r="L1088" i="2"/>
  <c r="Q1088" i="2" s="1"/>
  <c r="L1054" i="2"/>
  <c r="Q1054" i="2" s="1"/>
  <c r="L1019" i="2"/>
  <c r="Q1019" i="2" s="1"/>
  <c r="L949" i="2"/>
  <c r="Q949" i="2" s="1"/>
  <c r="L912" i="2"/>
  <c r="Q912" i="2" s="1"/>
  <c r="L858" i="2"/>
  <c r="Q858" i="2" s="1"/>
  <c r="L823" i="2"/>
  <c r="Q823" i="2" s="1"/>
  <c r="L786" i="2"/>
  <c r="Q786" i="2" s="1"/>
  <c r="L751" i="2"/>
  <c r="Q751" i="2" s="1"/>
  <c r="L716" i="2"/>
  <c r="Q716" i="2" s="1"/>
  <c r="L680" i="2"/>
  <c r="Q680" i="2" s="1"/>
  <c r="L605" i="2"/>
  <c r="L527" i="2"/>
  <c r="Q527" i="2" s="1"/>
  <c r="L491" i="2"/>
  <c r="L454" i="2"/>
  <c r="Q454" i="2" s="1"/>
  <c r="L416" i="2"/>
  <c r="Q416" i="2" s="1"/>
  <c r="L338" i="2"/>
  <c r="Q338" i="2" s="1"/>
  <c r="L288" i="2"/>
  <c r="L246" i="2"/>
  <c r="Q246" i="2" s="1"/>
  <c r="L203" i="2"/>
  <c r="Q203" i="2" s="1"/>
  <c r="L149" i="2"/>
  <c r="Q149" i="2" s="1"/>
  <c r="L104" i="2"/>
  <c r="Q104" i="2" s="1"/>
  <c r="L61" i="2"/>
  <c r="Q61" i="2" s="1"/>
  <c r="K1710" i="2"/>
  <c r="K1550" i="2"/>
  <c r="K1486" i="2"/>
  <c r="K1189" i="2"/>
  <c r="K974" i="2"/>
  <c r="O974" i="2" s="1"/>
  <c r="Q974" i="2" s="1"/>
  <c r="K849" i="2"/>
  <c r="K418" i="2"/>
  <c r="L911" i="2"/>
  <c r="Q911" i="2" s="1"/>
  <c r="K911" i="2"/>
  <c r="L189" i="2"/>
  <c r="Q189" i="2" s="1"/>
  <c r="K189" i="2"/>
  <c r="K125" i="2"/>
  <c r="L125" i="2"/>
  <c r="Q125" i="2" s="1"/>
  <c r="L1680" i="2"/>
  <c r="Q1680" i="2" s="1"/>
  <c r="L1648" i="2"/>
  <c r="Q1648" i="2" s="1"/>
  <c r="L1584" i="2"/>
  <c r="Q1584" i="2" s="1"/>
  <c r="L1453" i="2"/>
  <c r="Q1453" i="2" s="1"/>
  <c r="L1420" i="2"/>
  <c r="Q1420" i="2" s="1"/>
  <c r="L1386" i="2"/>
  <c r="Q1386" i="2" s="1"/>
  <c r="L1325" i="2"/>
  <c r="Q1325" i="2" s="1"/>
  <c r="L1155" i="2"/>
  <c r="Q1155" i="2" s="1"/>
  <c r="L1121" i="2"/>
  <c r="Q1121" i="2" s="1"/>
  <c r="L1087" i="2"/>
  <c r="Q1087" i="2" s="1"/>
  <c r="L1053" i="2"/>
  <c r="Q1053" i="2" s="1"/>
  <c r="L1018" i="2"/>
  <c r="Q1018" i="2" s="1"/>
  <c r="L947" i="2"/>
  <c r="Q947" i="2" s="1"/>
  <c r="L857" i="2"/>
  <c r="Q857" i="2" s="1"/>
  <c r="L822" i="2"/>
  <c r="Q822" i="2" s="1"/>
  <c r="L785" i="2"/>
  <c r="Q785" i="2" s="1"/>
  <c r="L750" i="2"/>
  <c r="Q750" i="2" s="1"/>
  <c r="L715" i="2"/>
  <c r="Q715" i="2" s="1"/>
  <c r="L679" i="2"/>
  <c r="Q679" i="2" s="1"/>
  <c r="L604" i="2"/>
  <c r="Q604" i="2" s="1"/>
  <c r="L526" i="2"/>
  <c r="Q526" i="2" s="1"/>
  <c r="L490" i="2"/>
  <c r="Q490" i="2" s="1"/>
  <c r="L453" i="2"/>
  <c r="Q453" i="2" s="1"/>
  <c r="L415" i="2"/>
  <c r="Q415" i="2" s="1"/>
  <c r="L337" i="2"/>
  <c r="Q337" i="2" s="1"/>
  <c r="L287" i="2"/>
  <c r="Q287" i="2" s="1"/>
  <c r="L244" i="2"/>
  <c r="L202" i="2"/>
  <c r="Q202" i="2" s="1"/>
  <c r="L148" i="2"/>
  <c r="Q148" i="2" s="1"/>
  <c r="L103" i="2"/>
  <c r="Q103" i="2" s="1"/>
  <c r="L59" i="2"/>
  <c r="Q59" i="2" s="1"/>
  <c r="K1485" i="2"/>
  <c r="K1359" i="2"/>
  <c r="K1188" i="2"/>
  <c r="K1110" i="2"/>
  <c r="K848" i="2"/>
  <c r="K319" i="2"/>
  <c r="K70" i="2"/>
  <c r="L860" i="2"/>
  <c r="Q860" i="2" s="1"/>
  <c r="K860" i="2"/>
  <c r="L188" i="2"/>
  <c r="Q188" i="2" s="1"/>
  <c r="K188" i="2"/>
  <c r="L1647" i="2"/>
  <c r="Q1647" i="2" s="1"/>
  <c r="L1615" i="2"/>
  <c r="Q1615" i="2" s="1"/>
  <c r="L1419" i="2"/>
  <c r="L1385" i="2"/>
  <c r="Q1385" i="2" s="1"/>
  <c r="L1324" i="2"/>
  <c r="Q1324" i="2" s="1"/>
  <c r="L1290" i="2"/>
  <c r="Q1290" i="2" s="1"/>
  <c r="L1256" i="2"/>
  <c r="L1120" i="2"/>
  <c r="Q1120" i="2" s="1"/>
  <c r="L1086" i="2"/>
  <c r="Q1086" i="2" s="1"/>
  <c r="L1052" i="2"/>
  <c r="Q1052" i="2" s="1"/>
  <c r="L1017" i="2"/>
  <c r="Q1017" i="2" s="1"/>
  <c r="L821" i="2"/>
  <c r="Q821" i="2" s="1"/>
  <c r="L784" i="2"/>
  <c r="Q784" i="2" s="1"/>
  <c r="L749" i="2"/>
  <c r="Q749" i="2" s="1"/>
  <c r="L714" i="2"/>
  <c r="Q714" i="2" s="1"/>
  <c r="L678" i="2"/>
  <c r="Q678" i="2" s="1"/>
  <c r="L603" i="2"/>
  <c r="Q603" i="2" s="1"/>
  <c r="L525" i="2"/>
  <c r="Q525" i="2" s="1"/>
  <c r="L489" i="2"/>
  <c r="Q489" i="2" s="1"/>
  <c r="L452" i="2"/>
  <c r="Q452" i="2" s="1"/>
  <c r="L336" i="2"/>
  <c r="Q336" i="2" s="1"/>
  <c r="L286" i="2"/>
  <c r="Q286" i="2" s="1"/>
  <c r="L243" i="2"/>
  <c r="Q243" i="2" s="1"/>
  <c r="L201" i="2"/>
  <c r="Q201" i="2" s="1"/>
  <c r="L147" i="2"/>
  <c r="Q147" i="2" s="1"/>
  <c r="L102" i="2"/>
  <c r="Q102" i="2" s="1"/>
  <c r="L57" i="2"/>
  <c r="Q57" i="2" s="1"/>
  <c r="K1708" i="2"/>
  <c r="K1548" i="2"/>
  <c r="K1484" i="2"/>
  <c r="K1187" i="2"/>
  <c r="K697" i="2"/>
  <c r="K190" i="2"/>
  <c r="L827" i="2"/>
  <c r="Q827" i="2" s="1"/>
  <c r="K827" i="2"/>
  <c r="L763" i="2"/>
  <c r="K763" i="2"/>
  <c r="O763" i="2" s="1"/>
  <c r="L187" i="2"/>
  <c r="K187" i="2"/>
  <c r="O187" i="2" s="1"/>
  <c r="L155" i="2"/>
  <c r="Q155" i="2" s="1"/>
  <c r="K155" i="2"/>
  <c r="K90" i="2"/>
  <c r="L90" i="2"/>
  <c r="Q90" i="2" s="1"/>
  <c r="L1646" i="2"/>
  <c r="Q1646" i="2" s="1"/>
  <c r="L1418" i="2"/>
  <c r="Q1418" i="2" s="1"/>
  <c r="L1323" i="2"/>
  <c r="Q1323" i="2" s="1"/>
  <c r="L1289" i="2"/>
  <c r="Q1289" i="2" s="1"/>
  <c r="L1255" i="2"/>
  <c r="Q1255" i="2" s="1"/>
  <c r="L1119" i="2"/>
  <c r="Q1119" i="2" s="1"/>
  <c r="L1085" i="2"/>
  <c r="Q1085" i="2" s="1"/>
  <c r="L1051" i="2"/>
  <c r="L943" i="2"/>
  <c r="Q943" i="2" s="1"/>
  <c r="L855" i="2"/>
  <c r="Q855" i="2" s="1"/>
  <c r="L820" i="2"/>
  <c r="Q820" i="2" s="1"/>
  <c r="L783" i="2"/>
  <c r="Q783" i="2" s="1"/>
  <c r="L748" i="2"/>
  <c r="Q748" i="2" s="1"/>
  <c r="L713" i="2"/>
  <c r="L677" i="2"/>
  <c r="Q677" i="2" s="1"/>
  <c r="L524" i="2"/>
  <c r="Q524" i="2" s="1"/>
  <c r="L488" i="2"/>
  <c r="Q488" i="2" s="1"/>
  <c r="L451" i="2"/>
  <c r="Q451" i="2" s="1"/>
  <c r="L413" i="2"/>
  <c r="L329" i="2"/>
  <c r="Q329" i="2" s="1"/>
  <c r="L285" i="2"/>
  <c r="Q285" i="2" s="1"/>
  <c r="L242" i="2"/>
  <c r="Q242" i="2" s="1"/>
  <c r="L199" i="2"/>
  <c r="Q199" i="2" s="1"/>
  <c r="L146" i="2"/>
  <c r="Q146" i="2" s="1"/>
  <c r="L101" i="2"/>
  <c r="Q101" i="2" s="1"/>
  <c r="L55" i="2"/>
  <c r="Q55" i="2" s="1"/>
  <c r="K1707" i="2"/>
  <c r="K1546" i="2"/>
  <c r="K1415" i="2"/>
  <c r="O1415" i="2" s="1"/>
  <c r="K1108" i="2"/>
  <c r="K1042" i="2"/>
  <c r="K946" i="2"/>
  <c r="K696" i="2"/>
  <c r="K183" i="2"/>
  <c r="L761" i="2"/>
  <c r="Q761" i="2" s="1"/>
  <c r="K761" i="2"/>
  <c r="L153" i="2"/>
  <c r="Q153" i="2" s="1"/>
  <c r="K153" i="2"/>
  <c r="L1644" i="2"/>
  <c r="Q1644" i="2" s="1"/>
  <c r="L1580" i="2"/>
  <c r="L1416" i="2"/>
  <c r="Q1416" i="2" s="1"/>
  <c r="L1382" i="2"/>
  <c r="Q1382" i="2" s="1"/>
  <c r="L1321" i="2"/>
  <c r="L1253" i="2"/>
  <c r="Q1253" i="2" s="1"/>
  <c r="L1151" i="2"/>
  <c r="L1117" i="2"/>
  <c r="Q1117" i="2" s="1"/>
  <c r="L1049" i="2"/>
  <c r="Q1049" i="2" s="1"/>
  <c r="L941" i="2"/>
  <c r="Q941" i="2" s="1"/>
  <c r="L853" i="2"/>
  <c r="Q853" i="2" s="1"/>
  <c r="L818" i="2"/>
  <c r="Q818" i="2" s="1"/>
  <c r="L781" i="2"/>
  <c r="Q781" i="2" s="1"/>
  <c r="L746" i="2"/>
  <c r="Q746" i="2" s="1"/>
  <c r="L711" i="2"/>
  <c r="Q711" i="2" s="1"/>
  <c r="L675" i="2"/>
  <c r="Q675" i="2" s="1"/>
  <c r="L637" i="2"/>
  <c r="Q637" i="2" s="1"/>
  <c r="L600" i="2"/>
  <c r="Q600" i="2" s="1"/>
  <c r="L559" i="2"/>
  <c r="Q559" i="2" s="1"/>
  <c r="L522" i="2"/>
  <c r="Q522" i="2" s="1"/>
  <c r="L486" i="2"/>
  <c r="Q486" i="2" s="1"/>
  <c r="L448" i="2"/>
  <c r="Q448" i="2" s="1"/>
  <c r="L411" i="2"/>
  <c r="L327" i="2"/>
  <c r="Q327" i="2" s="1"/>
  <c r="L283" i="2"/>
  <c r="Q283" i="2" s="1"/>
  <c r="L240" i="2"/>
  <c r="Q240" i="2" s="1"/>
  <c r="L196" i="2"/>
  <c r="L144" i="2"/>
  <c r="Q144" i="2" s="1"/>
  <c r="L47" i="2"/>
  <c r="Q47" i="2" s="1"/>
  <c r="K1705" i="2"/>
  <c r="K1544" i="2"/>
  <c r="K1481" i="2"/>
  <c r="O1481" i="2" s="1"/>
  <c r="K1413" i="2"/>
  <c r="K1184" i="2"/>
  <c r="K944" i="2"/>
  <c r="K400" i="2"/>
  <c r="L728" i="2"/>
  <c r="Q728" i="2" s="1"/>
  <c r="K728" i="2"/>
  <c r="K664" i="2"/>
  <c r="O664" i="2" s="1"/>
  <c r="L664" i="2"/>
  <c r="L152" i="2"/>
  <c r="Q152" i="2" s="1"/>
  <c r="K152" i="2"/>
  <c r="L1643" i="2"/>
  <c r="Q1643" i="2" s="1"/>
  <c r="L1611" i="2"/>
  <c r="Q1611" i="2" s="1"/>
  <c r="L1547" i="2"/>
  <c r="Q1547" i="2" s="1"/>
  <c r="L1381" i="2"/>
  <c r="Q1381" i="2" s="1"/>
  <c r="L1320" i="2"/>
  <c r="L1286" i="2"/>
  <c r="Q1286" i="2" s="1"/>
  <c r="L1252" i="2"/>
  <c r="L1116" i="2"/>
  <c r="Q1116" i="2" s="1"/>
  <c r="L1082" i="2"/>
  <c r="Q1082" i="2" s="1"/>
  <c r="L1048" i="2"/>
  <c r="Q1048" i="2" s="1"/>
  <c r="L1011" i="2"/>
  <c r="Q1011" i="2" s="1"/>
  <c r="L940" i="2"/>
  <c r="Q940" i="2" s="1"/>
  <c r="L852" i="2"/>
  <c r="Q852" i="2" s="1"/>
  <c r="L817" i="2"/>
  <c r="Q817" i="2" s="1"/>
  <c r="L780" i="2"/>
  <c r="Q780" i="2" s="1"/>
  <c r="L745" i="2"/>
  <c r="Q745" i="2" s="1"/>
  <c r="L710" i="2"/>
  <c r="Q710" i="2" s="1"/>
  <c r="L673" i="2"/>
  <c r="Q673" i="2" s="1"/>
  <c r="L636" i="2"/>
  <c r="Q636" i="2" s="1"/>
  <c r="L599" i="2"/>
  <c r="Q599" i="2" s="1"/>
  <c r="L558" i="2"/>
  <c r="Q558" i="2" s="1"/>
  <c r="L521" i="2"/>
  <c r="Q521" i="2" s="1"/>
  <c r="L485" i="2"/>
  <c r="Q485" i="2" s="1"/>
  <c r="L447" i="2"/>
  <c r="Q447" i="2" s="1"/>
  <c r="L410" i="2"/>
  <c r="Q410" i="2" s="1"/>
  <c r="L371" i="2"/>
  <c r="Q371" i="2" s="1"/>
  <c r="L282" i="2"/>
  <c r="Q282" i="2" s="1"/>
  <c r="L239" i="2"/>
  <c r="Q239" i="2" s="1"/>
  <c r="L195" i="2"/>
  <c r="Q195" i="2" s="1"/>
  <c r="L143" i="2"/>
  <c r="Q143" i="2" s="1"/>
  <c r="L95" i="2"/>
  <c r="Q95" i="2" s="1"/>
  <c r="L46" i="2"/>
  <c r="Q46" i="2" s="1"/>
  <c r="K1704" i="2"/>
  <c r="K1642" i="2"/>
  <c r="K1480" i="2"/>
  <c r="K1412" i="2"/>
  <c r="K1319" i="2"/>
  <c r="O1319" i="2" s="1"/>
  <c r="K1182" i="2"/>
  <c r="K663" i="2"/>
  <c r="L663" i="2"/>
  <c r="Q663" i="2" s="1"/>
  <c r="L631" i="2"/>
  <c r="Q631" i="2" s="1"/>
  <c r="K631" i="2"/>
  <c r="L151" i="2"/>
  <c r="Q151" i="2" s="1"/>
  <c r="K151" i="2"/>
  <c r="K86" i="2"/>
  <c r="L86" i="2"/>
  <c r="Q86" i="2" s="1"/>
  <c r="L60" i="2"/>
  <c r="Q60" i="2" s="1"/>
  <c r="K60" i="2"/>
  <c r="L1610" i="2"/>
  <c r="Q1610" i="2" s="1"/>
  <c r="L1578" i="2"/>
  <c r="Q1578" i="2" s="1"/>
  <c r="L1380" i="2"/>
  <c r="Q1380" i="2" s="1"/>
  <c r="L1285" i="2"/>
  <c r="Q1285" i="2" s="1"/>
  <c r="L1251" i="2"/>
  <c r="Q1251" i="2" s="1"/>
  <c r="L1183" i="2"/>
  <c r="Q1183" i="2" s="1"/>
  <c r="L1149" i="2"/>
  <c r="Q1149" i="2" s="1"/>
  <c r="L1115" i="2"/>
  <c r="Q1115" i="2" s="1"/>
  <c r="L1081" i="2"/>
  <c r="L1047" i="2"/>
  <c r="L1009" i="2"/>
  <c r="Q1009" i="2" s="1"/>
  <c r="L939" i="2"/>
  <c r="Q939" i="2" s="1"/>
  <c r="L851" i="2"/>
  <c r="Q851" i="2" s="1"/>
  <c r="L779" i="2"/>
  <c r="Q779" i="2" s="1"/>
  <c r="L744" i="2"/>
  <c r="Q744" i="2" s="1"/>
  <c r="L672" i="2"/>
  <c r="L635" i="2"/>
  <c r="Q635" i="2" s="1"/>
  <c r="L594" i="2"/>
  <c r="Q594" i="2" s="1"/>
  <c r="L557" i="2"/>
  <c r="Q557" i="2" s="1"/>
  <c r="L520" i="2"/>
  <c r="L484" i="2"/>
  <c r="Q484" i="2" s="1"/>
  <c r="L446" i="2"/>
  <c r="Q446" i="2" s="1"/>
  <c r="L409" i="2"/>
  <c r="Q409" i="2" s="1"/>
  <c r="L370" i="2"/>
  <c r="Q370" i="2" s="1"/>
  <c r="L281" i="2"/>
  <c r="Q281" i="2" s="1"/>
  <c r="L238" i="2"/>
  <c r="Q238" i="2" s="1"/>
  <c r="L192" i="2"/>
  <c r="L142" i="2"/>
  <c r="Q142" i="2" s="1"/>
  <c r="L93" i="2"/>
  <c r="Q93" i="2" s="1"/>
  <c r="L45" i="2"/>
  <c r="Q45" i="2" s="1"/>
  <c r="K1703" i="2"/>
  <c r="K1641" i="2"/>
  <c r="K1479" i="2"/>
  <c r="K1411" i="2"/>
  <c r="K834" i="2"/>
  <c r="K64" i="2"/>
  <c r="K662" i="2"/>
  <c r="L662" i="2"/>
  <c r="Q662" i="2" s="1"/>
  <c r="L630" i="2"/>
  <c r="Q630" i="2" s="1"/>
  <c r="K630" i="2"/>
  <c r="L150" i="2"/>
  <c r="Q150" i="2" s="1"/>
  <c r="K150" i="2"/>
  <c r="K27" i="2"/>
  <c r="L27" i="2"/>
  <c r="Q27" i="2" s="1"/>
  <c r="L1609" i="2"/>
  <c r="Q1609" i="2" s="1"/>
  <c r="L1379" i="2"/>
  <c r="Q1379" i="2" s="1"/>
  <c r="L1318" i="2"/>
  <c r="Q1318" i="2" s="1"/>
  <c r="L1284" i="2"/>
  <c r="Q1284" i="2" s="1"/>
  <c r="L1250" i="2"/>
  <c r="Q1250" i="2" s="1"/>
  <c r="L1148" i="2"/>
  <c r="Q1148" i="2" s="1"/>
  <c r="L1114" i="2"/>
  <c r="Q1114" i="2" s="1"/>
  <c r="L1045" i="2"/>
  <c r="Q1045" i="2" s="1"/>
  <c r="L1008" i="2"/>
  <c r="Q1008" i="2" s="1"/>
  <c r="L973" i="2"/>
  <c r="L850" i="2"/>
  <c r="Q850" i="2" s="1"/>
  <c r="L815" i="2"/>
  <c r="Q815" i="2" s="1"/>
  <c r="L778" i="2"/>
  <c r="Q778" i="2" s="1"/>
  <c r="L743" i="2"/>
  <c r="Q743" i="2" s="1"/>
  <c r="L708" i="2"/>
  <c r="Q708" i="2" s="1"/>
  <c r="L671" i="2"/>
  <c r="Q671" i="2" s="1"/>
  <c r="L634" i="2"/>
  <c r="Q634" i="2" s="1"/>
  <c r="L593" i="2"/>
  <c r="Q593" i="2" s="1"/>
  <c r="L556" i="2"/>
  <c r="Q556" i="2" s="1"/>
  <c r="L519" i="2"/>
  <c r="Q519" i="2" s="1"/>
  <c r="L483" i="2"/>
  <c r="Q483" i="2" s="1"/>
  <c r="L445" i="2"/>
  <c r="Q445" i="2" s="1"/>
  <c r="L408" i="2"/>
  <c r="Q408" i="2" s="1"/>
  <c r="L369" i="2"/>
  <c r="Q369" i="2" s="1"/>
  <c r="L237" i="2"/>
  <c r="Q237" i="2" s="1"/>
  <c r="L185" i="2"/>
  <c r="Q185" i="2" s="1"/>
  <c r="L141" i="2"/>
  <c r="Q141" i="2" s="1"/>
  <c r="L92" i="2"/>
  <c r="Q92" i="2" s="1"/>
  <c r="L44" i="2"/>
  <c r="Q44" i="2" s="1"/>
  <c r="K1640" i="2"/>
  <c r="K1478" i="2"/>
  <c r="K598" i="2"/>
  <c r="K164" i="2"/>
  <c r="L629" i="2"/>
  <c r="Q629" i="2" s="1"/>
  <c r="K629" i="2"/>
  <c r="L597" i="2"/>
  <c r="Q597" i="2" s="1"/>
  <c r="K597" i="2"/>
  <c r="L58" i="2"/>
  <c r="Q58" i="2" s="1"/>
  <c r="K58" i="2"/>
  <c r="L1608" i="2"/>
  <c r="Q1608" i="2" s="1"/>
  <c r="L1576" i="2"/>
  <c r="Q1576" i="2" s="1"/>
  <c r="L1378" i="2"/>
  <c r="Q1378" i="2" s="1"/>
  <c r="L1317" i="2"/>
  <c r="Q1317" i="2" s="1"/>
  <c r="L1283" i="2"/>
  <c r="Q1283" i="2" s="1"/>
  <c r="L1249" i="2"/>
  <c r="L1215" i="2"/>
  <c r="L1181" i="2"/>
  <c r="Q1181" i="2" s="1"/>
  <c r="L1147" i="2"/>
  <c r="Q1147" i="2" s="1"/>
  <c r="L1113" i="2"/>
  <c r="Q1113" i="2" s="1"/>
  <c r="L1079" i="2"/>
  <c r="Q1079" i="2" s="1"/>
  <c r="L1007" i="2"/>
  <c r="Q1007" i="2" s="1"/>
  <c r="L972" i="2"/>
  <c r="Q972" i="2" s="1"/>
  <c r="L814" i="2"/>
  <c r="Q814" i="2" s="1"/>
  <c r="L777" i="2"/>
  <c r="Q777" i="2" s="1"/>
  <c r="L707" i="2"/>
  <c r="Q707" i="2" s="1"/>
  <c r="L670" i="2"/>
  <c r="Q670" i="2" s="1"/>
  <c r="L633" i="2"/>
  <c r="L592" i="2"/>
  <c r="Q592" i="2" s="1"/>
  <c r="L555" i="2"/>
  <c r="Q555" i="2" s="1"/>
  <c r="L481" i="2"/>
  <c r="Q481" i="2" s="1"/>
  <c r="L407" i="2"/>
  <c r="Q407" i="2" s="1"/>
  <c r="L363" i="2"/>
  <c r="Q363" i="2" s="1"/>
  <c r="L236" i="2"/>
  <c r="Q236" i="2" s="1"/>
  <c r="L184" i="2"/>
  <c r="Q184" i="2" s="1"/>
  <c r="L140" i="2"/>
  <c r="Q140" i="2" s="1"/>
  <c r="L91" i="2"/>
  <c r="Q91" i="2" s="1"/>
  <c r="L43" i="2"/>
  <c r="Q43" i="2" s="1"/>
  <c r="K1639" i="2"/>
  <c r="K1477" i="2"/>
  <c r="K1174" i="2"/>
  <c r="K163" i="2"/>
  <c r="L154" i="2"/>
  <c r="Q154" i="2" s="1"/>
  <c r="K154" i="2"/>
  <c r="L628" i="2"/>
  <c r="Q628" i="2" s="1"/>
  <c r="K628" i="2"/>
  <c r="L596" i="2"/>
  <c r="Q596" i="2" s="1"/>
  <c r="K596" i="2"/>
  <c r="K532" i="2"/>
  <c r="L532" i="2"/>
  <c r="Q532" i="2" s="1"/>
  <c r="L500" i="2"/>
  <c r="Q500" i="2" s="1"/>
  <c r="K500" i="2"/>
  <c r="L1607" i="2"/>
  <c r="Q1607" i="2" s="1"/>
  <c r="L1543" i="2"/>
  <c r="Q1543" i="2" s="1"/>
  <c r="L1510" i="2"/>
  <c r="Q1510" i="2" s="1"/>
  <c r="L1316" i="2"/>
  <c r="Q1316" i="2" s="1"/>
  <c r="L1282" i="2"/>
  <c r="Q1282" i="2" s="1"/>
  <c r="L1248" i="2"/>
  <c r="Q1248" i="2" s="1"/>
  <c r="L1180" i="2"/>
  <c r="Q1180" i="2" s="1"/>
  <c r="L1146" i="2"/>
  <c r="Q1146" i="2" s="1"/>
  <c r="L1112" i="2"/>
  <c r="Q1112" i="2" s="1"/>
  <c r="L1077" i="2"/>
  <c r="Q1077" i="2" s="1"/>
  <c r="L1041" i="2"/>
  <c r="Q1041" i="2" s="1"/>
  <c r="L1006" i="2"/>
  <c r="Q1006" i="2" s="1"/>
  <c r="L971" i="2"/>
  <c r="Q971" i="2" s="1"/>
  <c r="L813" i="2"/>
  <c r="Q813" i="2" s="1"/>
  <c r="L776" i="2"/>
  <c r="Q776" i="2" s="1"/>
  <c r="L705" i="2"/>
  <c r="Q705" i="2" s="1"/>
  <c r="L669" i="2"/>
  <c r="Q669" i="2" s="1"/>
  <c r="L632" i="2"/>
  <c r="Q632" i="2" s="1"/>
  <c r="L591" i="2"/>
  <c r="Q591" i="2" s="1"/>
  <c r="L554" i="2"/>
  <c r="Q554" i="2" s="1"/>
  <c r="L480" i="2"/>
  <c r="Q480" i="2" s="1"/>
  <c r="L443" i="2"/>
  <c r="Q443" i="2" s="1"/>
  <c r="L406" i="2"/>
  <c r="Q406" i="2" s="1"/>
  <c r="L362" i="2"/>
  <c r="Q362" i="2" s="1"/>
  <c r="L234" i="2"/>
  <c r="Q234" i="2" s="1"/>
  <c r="L139" i="2"/>
  <c r="Q139" i="2" s="1"/>
  <c r="L89" i="2"/>
  <c r="Q89" i="2" s="1"/>
  <c r="L37" i="2"/>
  <c r="Q37" i="2" s="1"/>
  <c r="L245" i="2"/>
  <c r="Q245" i="2" s="1"/>
  <c r="L165" i="2"/>
  <c r="Q165" i="2" s="1"/>
  <c r="Q1481" i="2" l="1"/>
  <c r="Q434" i="2"/>
  <c r="Q1660" i="2"/>
  <c r="Q491" i="2"/>
  <c r="Q1417" i="2"/>
  <c r="Q1150" i="2"/>
  <c r="Q657" i="2"/>
  <c r="Q1551" i="2"/>
  <c r="Q1246" i="2"/>
  <c r="Q1415" i="2"/>
  <c r="Q639" i="2"/>
  <c r="Q990" i="2"/>
  <c r="Q644" i="2"/>
  <c r="Q288" i="2"/>
  <c r="Q880" i="2"/>
  <c r="Q241" i="2"/>
  <c r="Q1254" i="2"/>
  <c r="Q1319" i="2"/>
  <c r="Q1444" i="2"/>
  <c r="Q444" i="2"/>
  <c r="Q1288" i="2"/>
  <c r="Q1228" i="2"/>
  <c r="Q1209" i="2"/>
  <c r="Q763" i="2"/>
  <c r="Q1245" i="2"/>
  <c r="Q1151" i="2"/>
  <c r="Q684" i="2"/>
  <c r="Q1320" i="2"/>
  <c r="Q352" i="2"/>
  <c r="Q1523" i="2"/>
  <c r="Q113" i="2"/>
  <c r="Q664" i="2"/>
  <c r="Q298" i="2"/>
  <c r="Q713" i="2"/>
  <c r="Q187" i="2"/>
  <c r="Q411" i="2"/>
  <c r="Q1287" i="2"/>
  <c r="Q1580" i="2"/>
  <c r="Q1210" i="2"/>
  <c r="Q1577" i="2"/>
  <c r="Q1152" i="2"/>
  <c r="Q1659" i="2"/>
  <c r="Q1244" i="2"/>
  <c r="Q1368" i="2"/>
  <c r="Q1215" i="2"/>
  <c r="Q1469" i="2"/>
  <c r="Q1252" i="2"/>
  <c r="Q367" i="2"/>
  <c r="Q1081" i="2"/>
  <c r="Q611" i="2"/>
  <c r="Q520" i="2"/>
  <c r="Q192" i="2"/>
  <c r="Q1047" i="2"/>
  <c r="Q506" i="2"/>
  <c r="Q615" i="2"/>
  <c r="Q1321" i="2"/>
  <c r="Q209" i="2"/>
  <c r="Q764" i="2"/>
  <c r="Q413" i="2"/>
  <c r="Q493" i="2"/>
  <c r="Q1464" i="2"/>
  <c r="Q1249" i="2"/>
  <c r="Q1193" i="2"/>
  <c r="Q174" i="2"/>
  <c r="Q256" i="2"/>
  <c r="Q1507" i="2"/>
  <c r="Q440" i="2"/>
  <c r="Q633" i="2"/>
  <c r="Q200" i="2"/>
  <c r="Q300" i="2"/>
  <c r="Q1624" i="2"/>
  <c r="Q926" i="2"/>
  <c r="Q1410" i="2"/>
  <c r="Q1621" i="2"/>
  <c r="Q167" i="2"/>
  <c r="Q1162" i="2"/>
  <c r="Q196" i="2"/>
  <c r="Q605" i="2"/>
  <c r="Q1566" i="2"/>
  <c r="Q725" i="2"/>
  <c r="Q510" i="2"/>
  <c r="Q1075" i="2"/>
  <c r="Q698" i="2"/>
  <c r="Q476" i="2"/>
  <c r="Q1173" i="2"/>
  <c r="Q1440" i="2"/>
  <c r="Q1596" i="2"/>
  <c r="Q1000" i="2"/>
  <c r="Q766" i="2"/>
  <c r="Q318" i="2"/>
  <c r="Q1357" i="2"/>
  <c r="Q459" i="2"/>
  <c r="Q168" i="2"/>
  <c r="Q1066" i="2"/>
  <c r="Q625" i="2"/>
  <c r="Q1292" i="2"/>
  <c r="Q608" i="2"/>
  <c r="Q1457" i="2"/>
  <c r="Q1558" i="2"/>
  <c r="Q358" i="2"/>
  <c r="Q988" i="2"/>
  <c r="Q970" i="2"/>
  <c r="Q967" i="2"/>
  <c r="Q672" i="2"/>
  <c r="Q1267" i="2"/>
  <c r="Q1460" i="2"/>
  <c r="Q218" i="2"/>
  <c r="Q351" i="2"/>
  <c r="Q460" i="2"/>
  <c r="Q721" i="2"/>
  <c r="Q274" i="2"/>
  <c r="Q205" i="2"/>
  <c r="Q1358" i="2"/>
  <c r="Q177" i="2"/>
  <c r="Q193" i="2"/>
  <c r="Q653" i="2"/>
  <c r="Q973" i="2"/>
  <c r="Q998" i="2"/>
  <c r="Q1063" i="2"/>
  <c r="Q768" i="2"/>
  <c r="Q1556" i="2"/>
  <c r="Q691" i="2"/>
  <c r="Q212" i="2"/>
  <c r="Q317" i="2"/>
  <c r="Q361" i="2"/>
  <c r="Q765" i="2"/>
  <c r="Q244" i="2"/>
  <c r="Q1062" i="2"/>
  <c r="Q1256" i="2"/>
  <c r="Q1051" i="2"/>
  <c r="Q458" i="2"/>
  <c r="Q718" i="2"/>
  <c r="Q1419" i="2"/>
  <c r="Q1397" i="2"/>
  <c r="A15" i="39"/>
  <c r="B8" i="39"/>
  <c r="B9" i="39"/>
  <c r="A9" i="39"/>
  <c r="A4" i="39"/>
  <c r="A5" i="39"/>
  <c r="A6" i="39"/>
  <c r="A7" i="39"/>
  <c r="A8" i="39"/>
  <c r="A3" i="39"/>
  <c r="B7" i="39"/>
  <c r="B6" i="39"/>
  <c r="B5" i="39"/>
  <c r="B3" i="39"/>
  <c r="A29" i="32"/>
  <c r="H57" i="37" l="1"/>
  <c r="E17" i="32" s="1"/>
  <c r="Z10" i="2" l="1"/>
  <c r="D12" i="35" l="1"/>
  <c r="E12" i="35" s="1"/>
  <c r="G12" i="35" s="1"/>
  <c r="D13" i="35"/>
  <c r="D14" i="35"/>
  <c r="D15" i="35"/>
  <c r="D16" i="35"/>
  <c r="E16" i="35" s="1"/>
  <c r="G16" i="35" s="1"/>
  <c r="D17" i="35"/>
  <c r="E17" i="35" s="1"/>
  <c r="G17" i="35" s="1"/>
  <c r="D18" i="35"/>
  <c r="E18" i="35" s="1"/>
  <c r="G18" i="35" s="1"/>
  <c r="D19" i="35"/>
  <c r="D20" i="35"/>
  <c r="D21" i="35"/>
  <c r="D22" i="35"/>
  <c r="E22" i="35" s="1"/>
  <c r="G22" i="35" s="1"/>
  <c r="D23" i="35"/>
  <c r="E23" i="35" s="1"/>
  <c r="G23" i="35" s="1"/>
  <c r="D24" i="35"/>
  <c r="E24" i="35" s="1"/>
  <c r="G24" i="35" s="1"/>
  <c r="D25" i="35"/>
  <c r="D26" i="35"/>
  <c r="D27" i="35"/>
  <c r="D28" i="35"/>
  <c r="D30" i="35"/>
  <c r="D31" i="35"/>
  <c r="E31" i="35" s="1"/>
  <c r="G31" i="35" s="1"/>
  <c r="D32" i="35"/>
  <c r="E32" i="35" s="1"/>
  <c r="G32" i="35" s="1"/>
  <c r="D33" i="35"/>
  <c r="D34" i="35"/>
  <c r="D35" i="35"/>
  <c r="D36" i="35"/>
  <c r="E36" i="35" s="1"/>
  <c r="G36" i="35" s="1"/>
  <c r="D37" i="35"/>
  <c r="D38" i="35"/>
  <c r="E38" i="35" s="1"/>
  <c r="G38" i="35" s="1"/>
  <c r="D39" i="35"/>
  <c r="D40" i="35"/>
  <c r="D41" i="35"/>
  <c r="D42" i="35"/>
  <c r="E42" i="35" s="1"/>
  <c r="G42" i="35" s="1"/>
  <c r="D44" i="35"/>
  <c r="D45" i="35"/>
  <c r="E45" i="35" s="1"/>
  <c r="G45" i="35" s="1"/>
  <c r="D46" i="35"/>
  <c r="E46" i="35" s="1"/>
  <c r="G46" i="35" s="1"/>
  <c r="D47" i="35"/>
  <c r="D48" i="35"/>
  <c r="D49" i="35"/>
  <c r="D50" i="35"/>
  <c r="E50" i="35" s="1"/>
  <c r="G50" i="35" s="1"/>
  <c r="D52" i="35"/>
  <c r="E52" i="35" s="1"/>
  <c r="G52" i="35" s="1"/>
  <c r="D53" i="35"/>
  <c r="E53" i="35" s="1"/>
  <c r="G53" i="35" s="1"/>
  <c r="D54" i="35"/>
  <c r="E54" i="35" s="1"/>
  <c r="G54" i="35" s="1"/>
  <c r="D55" i="35"/>
  <c r="D56" i="35"/>
  <c r="D57" i="35"/>
  <c r="D58" i="35"/>
  <c r="E58" i="35" s="1"/>
  <c r="G58" i="35" s="1"/>
  <c r="D59" i="35"/>
  <c r="E59" i="35" s="1"/>
  <c r="G59" i="35" s="1"/>
  <c r="D60" i="35"/>
  <c r="E60" i="35" s="1"/>
  <c r="G60" i="35" s="1"/>
  <c r="D61" i="35"/>
  <c r="D62" i="35"/>
  <c r="D63" i="35"/>
  <c r="D64" i="35"/>
  <c r="E64" i="35" s="1"/>
  <c r="G64" i="35" s="1"/>
  <c r="D65" i="35"/>
  <c r="E65" i="35" s="1"/>
  <c r="G65" i="35" s="1"/>
  <c r="D66" i="35"/>
  <c r="E66" i="35" s="1"/>
  <c r="G66" i="35" s="1"/>
  <c r="D67" i="35"/>
  <c r="D68" i="35"/>
  <c r="D69" i="35"/>
  <c r="D70" i="35"/>
  <c r="E70" i="35" s="1"/>
  <c r="G70" i="35" s="1"/>
  <c r="D72" i="35"/>
  <c r="D73" i="35"/>
  <c r="E73" i="35" s="1"/>
  <c r="G73" i="35" s="1"/>
  <c r="D74" i="35"/>
  <c r="E74" i="35" s="1"/>
  <c r="G74" i="35" s="1"/>
  <c r="D75" i="35"/>
  <c r="D77" i="35"/>
  <c r="E77" i="35" s="1"/>
  <c r="G77" i="35" s="1"/>
  <c r="D78" i="35"/>
  <c r="D79" i="35"/>
  <c r="D80" i="35"/>
  <c r="E80" i="35" s="1"/>
  <c r="G80" i="35" s="1"/>
  <c r="D82" i="35"/>
  <c r="E82" i="35" s="1"/>
  <c r="G82" i="35" s="1"/>
  <c r="D83" i="35"/>
  <c r="E83" i="35" s="1"/>
  <c r="G83" i="35" s="1"/>
  <c r="D84" i="35"/>
  <c r="E84" i="35" s="1"/>
  <c r="G84" i="35" s="1"/>
  <c r="D85" i="35"/>
  <c r="D87" i="35"/>
  <c r="D88" i="35"/>
  <c r="D89" i="35"/>
  <c r="D90" i="35"/>
  <c r="E90" i="35" s="1"/>
  <c r="G90" i="35" s="1"/>
  <c r="D92" i="35"/>
  <c r="E92" i="35" s="1"/>
  <c r="G92" i="35" s="1"/>
  <c r="D93" i="35"/>
  <c r="E93" i="35" s="1"/>
  <c r="G93" i="35" s="1"/>
  <c r="D94" i="35"/>
  <c r="E94" i="35" s="1"/>
  <c r="G94" i="35" s="1"/>
  <c r="D95" i="35"/>
  <c r="D96" i="35"/>
  <c r="D97" i="35"/>
  <c r="D98" i="35"/>
  <c r="E98" i="35" s="1"/>
  <c r="G98" i="35" s="1"/>
  <c r="D100" i="35"/>
  <c r="E100" i="35" s="1"/>
  <c r="G100" i="35" s="1"/>
  <c r="D101" i="35"/>
  <c r="E101" i="35" s="1"/>
  <c r="G101" i="35" s="1"/>
  <c r="D102" i="35"/>
  <c r="E102" i="35" s="1"/>
  <c r="G102" i="35" s="1"/>
  <c r="D103" i="35"/>
  <c r="D104" i="35"/>
  <c r="D105" i="35"/>
  <c r="D106" i="35"/>
  <c r="E106" i="35" s="1"/>
  <c r="G106" i="35" s="1"/>
  <c r="D107" i="35"/>
  <c r="E107" i="35" s="1"/>
  <c r="G107" i="35" s="1"/>
  <c r="D108" i="35"/>
  <c r="E108" i="35" s="1"/>
  <c r="G108" i="35" s="1"/>
  <c r="D109" i="35"/>
  <c r="D110" i="35"/>
  <c r="D111" i="35"/>
  <c r="D112" i="35"/>
  <c r="E112" i="35" s="1"/>
  <c r="G112" i="35" s="1"/>
  <c r="D113" i="35"/>
  <c r="E113" i="35" s="1"/>
  <c r="G113" i="35" s="1"/>
  <c r="D114" i="35"/>
  <c r="E114" i="35" s="1"/>
  <c r="G114" i="35" s="1"/>
  <c r="D115" i="35"/>
  <c r="D117" i="35"/>
  <c r="D118" i="35"/>
  <c r="D119" i="35"/>
  <c r="D120" i="35"/>
  <c r="E120" i="35" s="1"/>
  <c r="G120" i="35" s="1"/>
  <c r="D121" i="35"/>
  <c r="E121" i="35" s="1"/>
  <c r="G121" i="35" s="1"/>
  <c r="D122" i="35"/>
  <c r="D123" i="35"/>
  <c r="D125" i="35"/>
  <c r="D126" i="35"/>
  <c r="D127" i="35"/>
  <c r="D128" i="35"/>
  <c r="E128" i="35" s="1"/>
  <c r="G128" i="35" s="1"/>
  <c r="D130" i="35"/>
  <c r="E130" i="35" s="1"/>
  <c r="G130" i="35" s="1"/>
  <c r="D131" i="35"/>
  <c r="E131" i="35" s="1"/>
  <c r="G131" i="35" s="1"/>
  <c r="D132" i="35"/>
  <c r="D133" i="35"/>
  <c r="D135" i="35"/>
  <c r="D136" i="35"/>
  <c r="D137" i="35"/>
  <c r="D138" i="35"/>
  <c r="E138" i="35" s="1"/>
  <c r="G138" i="35" s="1"/>
  <c r="D139" i="35"/>
  <c r="E139" i="35" s="1"/>
  <c r="G139" i="35" s="1"/>
  <c r="D140" i="35"/>
  <c r="D141" i="35"/>
  <c r="D142" i="35"/>
  <c r="D143" i="35"/>
  <c r="D144" i="35"/>
  <c r="E144" i="35" s="1"/>
  <c r="G144" i="35" s="1"/>
  <c r="D146" i="35"/>
  <c r="E146" i="35" s="1"/>
  <c r="G146" i="35" s="1"/>
  <c r="D147" i="35"/>
  <c r="E147" i="35" s="1"/>
  <c r="G147" i="35" s="1"/>
  <c r="D148" i="35"/>
  <c r="D149" i="35"/>
  <c r="D151" i="35"/>
  <c r="D152" i="35"/>
  <c r="D153" i="35"/>
  <c r="D154" i="35"/>
  <c r="D155" i="35"/>
  <c r="D156" i="35"/>
  <c r="D157" i="35"/>
  <c r="E157" i="35" s="1"/>
  <c r="G157" i="35" s="1"/>
  <c r="D159" i="35"/>
  <c r="E159" i="35" s="1"/>
  <c r="G159" i="35" s="1"/>
  <c r="D11" i="35"/>
  <c r="E11" i="35" s="1"/>
  <c r="G11" i="35" s="1"/>
  <c r="E125" i="35" l="1"/>
  <c r="G125" i="35" s="1"/>
  <c r="E148" i="35"/>
  <c r="G148" i="35" s="1"/>
  <c r="E105" i="35"/>
  <c r="G105" i="35" s="1"/>
  <c r="E140" i="35"/>
  <c r="G140" i="35" s="1"/>
  <c r="E104" i="35"/>
  <c r="G104" i="35" s="1"/>
  <c r="E21" i="35"/>
  <c r="G21" i="35" s="1"/>
  <c r="E149" i="35"/>
  <c r="G149" i="35" s="1"/>
  <c r="E122" i="35"/>
  <c r="G122" i="35" s="1"/>
  <c r="E123" i="35"/>
  <c r="G123" i="35" s="1"/>
  <c r="E119" i="35"/>
  <c r="G119" i="35" s="1"/>
  <c r="E56" i="35"/>
  <c r="G56" i="35" s="1"/>
  <c r="E14" i="35"/>
  <c r="G14" i="35" s="1"/>
  <c r="E39" i="35"/>
  <c r="G39" i="35" s="1"/>
  <c r="E141" i="35"/>
  <c r="G141" i="35" s="1"/>
  <c r="E55" i="35"/>
  <c r="G55" i="35" s="1"/>
  <c r="E20" i="35"/>
  <c r="G20" i="35" s="1"/>
  <c r="E69" i="35"/>
  <c r="G69" i="35" s="1"/>
  <c r="E13" i="35"/>
  <c r="G13" i="35" s="1"/>
  <c r="E57" i="35"/>
  <c r="G57" i="35" s="1"/>
  <c r="E35" i="35"/>
  <c r="G35" i="35" s="1"/>
  <c r="E68" i="35"/>
  <c r="G68" i="35" s="1"/>
  <c r="E136" i="35"/>
  <c r="G136" i="35" s="1"/>
  <c r="E133" i="35"/>
  <c r="G133" i="35" s="1"/>
  <c r="E49" i="35"/>
  <c r="G49" i="35" s="1"/>
  <c r="E61" i="35"/>
  <c r="G61" i="35" s="1"/>
  <c r="E79" i="35"/>
  <c r="G79" i="35" s="1"/>
  <c r="E78" i="35"/>
  <c r="G78" i="35" s="1"/>
  <c r="E143" i="35"/>
  <c r="G143" i="35" s="1"/>
  <c r="E75" i="35"/>
  <c r="G75" i="35" s="1"/>
  <c r="E115" i="35"/>
  <c r="G115" i="35" s="1"/>
  <c r="E33" i="35"/>
  <c r="G33" i="35" s="1"/>
  <c r="E34" i="35"/>
  <c r="G34" i="35" s="1"/>
  <c r="E109" i="35"/>
  <c r="G109" i="35" s="1"/>
  <c r="E25" i="35"/>
  <c r="G25" i="35" s="1"/>
  <c r="E40" i="35"/>
  <c r="G40" i="35" s="1"/>
  <c r="E103" i="35"/>
  <c r="G103" i="35" s="1"/>
  <c r="E117" i="35"/>
  <c r="G117" i="35" s="1"/>
  <c r="E48" i="35"/>
  <c r="G48" i="35" s="1"/>
  <c r="E89" i="35"/>
  <c r="G89" i="35" s="1"/>
  <c r="E28" i="35"/>
  <c r="G28" i="35" s="1"/>
  <c r="E135" i="35"/>
  <c r="G135" i="35" s="1"/>
  <c r="E132" i="35"/>
  <c r="G132" i="35" s="1"/>
  <c r="E47" i="35"/>
  <c r="G47" i="35" s="1"/>
  <c r="E27" i="35"/>
  <c r="G27" i="35" s="1"/>
  <c r="E30" i="35"/>
  <c r="G30" i="35" s="1"/>
  <c r="E97" i="35"/>
  <c r="G97" i="35" s="1"/>
  <c r="E110" i="35"/>
  <c r="G110" i="35" s="1"/>
  <c r="E87" i="35"/>
  <c r="G87" i="35" s="1"/>
  <c r="E26" i="35"/>
  <c r="G26" i="35" s="1"/>
  <c r="E15" i="35"/>
  <c r="G15" i="35" s="1"/>
  <c r="E156" i="35"/>
  <c r="G156" i="35" s="1"/>
  <c r="E111" i="35"/>
  <c r="G111" i="35" s="1"/>
  <c r="E85" i="35"/>
  <c r="G85" i="35" s="1"/>
  <c r="E37" i="35"/>
  <c r="G37" i="35" s="1"/>
  <c r="E67" i="35"/>
  <c r="G67" i="35" s="1"/>
  <c r="E152" i="35"/>
  <c r="G152" i="35" s="1"/>
  <c r="E63" i="35"/>
  <c r="G63" i="35" s="1"/>
  <c r="E41" i="35"/>
  <c r="G41" i="35" s="1"/>
  <c r="E142" i="35"/>
  <c r="G142" i="35" s="1"/>
  <c r="E96" i="35"/>
  <c r="G96" i="35" s="1"/>
  <c r="E137" i="35"/>
  <c r="G137" i="35" s="1"/>
  <c r="E155" i="35"/>
  <c r="G155" i="35" s="1"/>
  <c r="E154" i="35"/>
  <c r="G154" i="35" s="1"/>
  <c r="E62" i="35"/>
  <c r="G62" i="35" s="1"/>
  <c r="E19" i="35"/>
  <c r="G19" i="35" s="1"/>
  <c r="E118" i="35"/>
  <c r="G118" i="35" s="1"/>
  <c r="E72" i="35"/>
  <c r="G72" i="35" s="1"/>
  <c r="E95" i="35"/>
  <c r="G95" i="35" s="1"/>
  <c r="E153" i="35"/>
  <c r="G153" i="35" s="1"/>
  <c r="E88" i="35"/>
  <c r="G88" i="35" s="1"/>
  <c r="E127" i="35"/>
  <c r="G127" i="35" s="1"/>
  <c r="E151" i="35"/>
  <c r="G151" i="35" s="1"/>
  <c r="E126" i="35"/>
  <c r="G126" i="35" s="1"/>
  <c r="E44" i="35"/>
  <c r="G44" i="35" s="1"/>
  <c r="A6" i="28" l="1"/>
  <c r="A5" i="28"/>
  <c r="A3" i="28"/>
  <c r="V11" i="2" l="1"/>
  <c r="V31" i="2"/>
  <c r="V51" i="2"/>
  <c r="V71" i="2"/>
  <c r="V91" i="2"/>
  <c r="V111" i="2"/>
  <c r="V131" i="2"/>
  <c r="V151" i="2"/>
  <c r="V171" i="2"/>
  <c r="V191" i="2"/>
  <c r="V211" i="2"/>
  <c r="V231" i="2"/>
  <c r="V251" i="2"/>
  <c r="V271" i="2"/>
  <c r="V291" i="2"/>
  <c r="V311" i="2"/>
  <c r="V331" i="2"/>
  <c r="V351" i="2"/>
  <c r="V371" i="2"/>
  <c r="V391" i="2"/>
  <c r="V411" i="2"/>
  <c r="V431" i="2"/>
  <c r="V451" i="2"/>
  <c r="V471" i="2"/>
  <c r="V491" i="2"/>
  <c r="V511" i="2"/>
  <c r="V531" i="2"/>
  <c r="V551" i="2"/>
  <c r="V571" i="2"/>
  <c r="V591" i="2"/>
  <c r="V611" i="2"/>
  <c r="V631" i="2"/>
  <c r="V651" i="2"/>
  <c r="V671" i="2"/>
  <c r="V691" i="2"/>
  <c r="V711" i="2"/>
  <c r="V731" i="2"/>
  <c r="V751" i="2"/>
  <c r="V771" i="2"/>
  <c r="V791" i="2"/>
  <c r="V811" i="2"/>
  <c r="V831" i="2"/>
  <c r="V851" i="2"/>
  <c r="V871" i="2"/>
  <c r="V891" i="2"/>
  <c r="V911" i="2"/>
  <c r="V931" i="2"/>
  <c r="V951" i="2"/>
  <c r="V971" i="2"/>
  <c r="V991" i="2"/>
  <c r="V1011" i="2"/>
  <c r="V1031" i="2"/>
  <c r="V1051" i="2"/>
  <c r="V1071" i="2"/>
  <c r="V1091" i="2"/>
  <c r="V1111" i="2"/>
  <c r="V1131" i="2"/>
  <c r="V1151" i="2"/>
  <c r="V1171" i="2"/>
  <c r="V1191" i="2"/>
  <c r="V1211" i="2"/>
  <c r="V1231" i="2"/>
  <c r="V1251" i="2"/>
  <c r="V1271" i="2"/>
  <c r="V1291" i="2"/>
  <c r="V1311" i="2"/>
  <c r="V1331" i="2"/>
  <c r="V1351" i="2"/>
  <c r="V1371" i="2"/>
  <c r="V1391" i="2"/>
  <c r="V1411" i="2"/>
  <c r="V1431" i="2"/>
  <c r="V1451" i="2"/>
  <c r="V1471" i="2"/>
  <c r="V1491" i="2"/>
  <c r="V1511" i="2"/>
  <c r="V1531" i="2"/>
  <c r="V1551" i="2"/>
  <c r="V1571" i="2"/>
  <c r="V1591" i="2"/>
  <c r="V1611" i="2"/>
  <c r="V1631" i="2"/>
  <c r="V1651" i="2"/>
  <c r="V1671" i="2"/>
  <c r="V1691" i="2"/>
  <c r="W11" i="2"/>
  <c r="W31" i="2"/>
  <c r="W51" i="2"/>
  <c r="W71" i="2"/>
  <c r="W91" i="2"/>
  <c r="W111" i="2"/>
  <c r="W131" i="2"/>
  <c r="W151" i="2"/>
  <c r="W171" i="2"/>
  <c r="W191" i="2"/>
  <c r="W211" i="2"/>
  <c r="W231" i="2"/>
  <c r="W251" i="2"/>
  <c r="W271" i="2"/>
  <c r="W291" i="2"/>
  <c r="W311" i="2"/>
  <c r="W331" i="2"/>
  <c r="W351" i="2"/>
  <c r="W371" i="2"/>
  <c r="W391" i="2"/>
  <c r="W411" i="2"/>
  <c r="W431" i="2"/>
  <c r="W451" i="2"/>
  <c r="W471" i="2"/>
  <c r="W491" i="2"/>
  <c r="W511" i="2"/>
  <c r="W531" i="2"/>
  <c r="W551" i="2"/>
  <c r="W571" i="2"/>
  <c r="W591" i="2"/>
  <c r="W611" i="2"/>
  <c r="W631" i="2"/>
  <c r="W651" i="2"/>
  <c r="W671" i="2"/>
  <c r="W691" i="2"/>
  <c r="W711" i="2"/>
  <c r="W731" i="2"/>
  <c r="W751" i="2"/>
  <c r="W771" i="2"/>
  <c r="W791" i="2"/>
  <c r="W811" i="2"/>
  <c r="W831" i="2"/>
  <c r="W851" i="2"/>
  <c r="W871" i="2"/>
  <c r="W891" i="2"/>
  <c r="W911" i="2"/>
  <c r="W931" i="2"/>
  <c r="W951" i="2"/>
  <c r="W971" i="2"/>
  <c r="W991" i="2"/>
  <c r="W1011" i="2"/>
  <c r="W1031" i="2"/>
  <c r="W1051" i="2"/>
  <c r="W1071" i="2"/>
  <c r="W1091" i="2"/>
  <c r="W1111" i="2"/>
  <c r="W1131" i="2"/>
  <c r="W1151" i="2"/>
  <c r="W1171" i="2"/>
  <c r="W1191" i="2"/>
  <c r="W1211" i="2"/>
  <c r="W1231" i="2"/>
  <c r="W1251" i="2"/>
  <c r="W1271" i="2"/>
  <c r="W1291" i="2"/>
  <c r="W1311" i="2"/>
  <c r="W1331" i="2"/>
  <c r="W1351" i="2"/>
  <c r="W1371" i="2"/>
  <c r="W1391" i="2"/>
  <c r="W1411" i="2"/>
  <c r="W1431" i="2"/>
  <c r="W1451" i="2"/>
  <c r="W1471" i="2"/>
  <c r="W1491" i="2"/>
  <c r="W1511" i="2"/>
  <c r="W1531" i="2"/>
  <c r="W1551" i="2"/>
  <c r="W1571" i="2"/>
  <c r="W1591" i="2"/>
  <c r="W1611" i="2"/>
  <c r="W1631" i="2"/>
  <c r="W1651" i="2"/>
  <c r="W1671" i="2"/>
  <c r="V12" i="2"/>
  <c r="V32" i="2"/>
  <c r="V52" i="2"/>
  <c r="V72" i="2"/>
  <c r="V92" i="2"/>
  <c r="V112" i="2"/>
  <c r="V132" i="2"/>
  <c r="V152" i="2"/>
  <c r="V172" i="2"/>
  <c r="V192" i="2"/>
  <c r="V212" i="2"/>
  <c r="V232" i="2"/>
  <c r="V252" i="2"/>
  <c r="V272" i="2"/>
  <c r="V292" i="2"/>
  <c r="V312" i="2"/>
  <c r="V332" i="2"/>
  <c r="V352" i="2"/>
  <c r="V372" i="2"/>
  <c r="V392" i="2"/>
  <c r="V412" i="2"/>
  <c r="V432" i="2"/>
  <c r="V452" i="2"/>
  <c r="V472" i="2"/>
  <c r="V492" i="2"/>
  <c r="V512" i="2"/>
  <c r="V532" i="2"/>
  <c r="V552" i="2"/>
  <c r="V572" i="2"/>
  <c r="V592" i="2"/>
  <c r="V612" i="2"/>
  <c r="V632" i="2"/>
  <c r="V652" i="2"/>
  <c r="V672" i="2"/>
  <c r="V692" i="2"/>
  <c r="V712" i="2"/>
  <c r="V732" i="2"/>
  <c r="V752" i="2"/>
  <c r="V772" i="2"/>
  <c r="V792" i="2"/>
  <c r="V812" i="2"/>
  <c r="V832" i="2"/>
  <c r="V852" i="2"/>
  <c r="V872" i="2"/>
  <c r="V892" i="2"/>
  <c r="V912" i="2"/>
  <c r="V932" i="2"/>
  <c r="V952" i="2"/>
  <c r="V972" i="2"/>
  <c r="V992" i="2"/>
  <c r="V1012" i="2"/>
  <c r="V1032" i="2"/>
  <c r="V1052" i="2"/>
  <c r="V1072" i="2"/>
  <c r="V1092" i="2"/>
  <c r="V1112" i="2"/>
  <c r="V1132" i="2"/>
  <c r="V1152" i="2"/>
  <c r="V1172" i="2"/>
  <c r="V1192" i="2"/>
  <c r="V1212" i="2"/>
  <c r="V1232" i="2"/>
  <c r="V1252" i="2"/>
  <c r="V1272" i="2"/>
  <c r="V1292" i="2"/>
  <c r="V1312" i="2"/>
  <c r="V1332" i="2"/>
  <c r="V1352" i="2"/>
  <c r="V1372" i="2"/>
  <c r="V1392" i="2"/>
  <c r="V1412" i="2"/>
  <c r="V1432" i="2"/>
  <c r="V1452" i="2"/>
  <c r="V1472" i="2"/>
  <c r="V1492" i="2"/>
  <c r="V1512" i="2"/>
  <c r="V1532" i="2"/>
  <c r="V1552" i="2"/>
  <c r="V1572" i="2"/>
  <c r="V1592" i="2"/>
  <c r="V1612" i="2"/>
  <c r="W12" i="2"/>
  <c r="W32" i="2"/>
  <c r="W52" i="2"/>
  <c r="W72" i="2"/>
  <c r="W92" i="2"/>
  <c r="W112" i="2"/>
  <c r="W132" i="2"/>
  <c r="W152" i="2"/>
  <c r="W172" i="2"/>
  <c r="W192" i="2"/>
  <c r="W212" i="2"/>
  <c r="W232" i="2"/>
  <c r="W252" i="2"/>
  <c r="W272" i="2"/>
  <c r="W292" i="2"/>
  <c r="W312" i="2"/>
  <c r="W332" i="2"/>
  <c r="W352" i="2"/>
  <c r="W372" i="2"/>
  <c r="W392" i="2"/>
  <c r="W412" i="2"/>
  <c r="W432" i="2"/>
  <c r="W452" i="2"/>
  <c r="W472" i="2"/>
  <c r="W492" i="2"/>
  <c r="W512" i="2"/>
  <c r="W532" i="2"/>
  <c r="W552" i="2"/>
  <c r="W572" i="2"/>
  <c r="W592" i="2"/>
  <c r="W612" i="2"/>
  <c r="W632" i="2"/>
  <c r="W652" i="2"/>
  <c r="W672" i="2"/>
  <c r="W692" i="2"/>
  <c r="W712" i="2"/>
  <c r="W732" i="2"/>
  <c r="W752" i="2"/>
  <c r="W772" i="2"/>
  <c r="W792" i="2"/>
  <c r="W812" i="2"/>
  <c r="W832" i="2"/>
  <c r="W852" i="2"/>
  <c r="W872" i="2"/>
  <c r="W892" i="2"/>
  <c r="W912" i="2"/>
  <c r="W932" i="2"/>
  <c r="W952" i="2"/>
  <c r="W972" i="2"/>
  <c r="W992" i="2"/>
  <c r="W1012" i="2"/>
  <c r="W1032" i="2"/>
  <c r="W1052" i="2"/>
  <c r="W1072" i="2"/>
  <c r="W1092" i="2"/>
  <c r="W1112" i="2"/>
  <c r="W1132" i="2"/>
  <c r="W1152" i="2"/>
  <c r="W1172" i="2"/>
  <c r="W1192" i="2"/>
  <c r="W1212" i="2"/>
  <c r="W1232" i="2"/>
  <c r="W1252" i="2"/>
  <c r="W1272" i="2"/>
  <c r="W1292" i="2"/>
  <c r="W1312" i="2"/>
  <c r="W1332" i="2"/>
  <c r="W1352" i="2"/>
  <c r="W1372" i="2"/>
  <c r="W1392" i="2"/>
  <c r="W1412" i="2"/>
  <c r="W1432" i="2"/>
  <c r="W1452" i="2"/>
  <c r="W1472" i="2"/>
  <c r="W1492" i="2"/>
  <c r="W1512" i="2"/>
  <c r="W1532" i="2"/>
  <c r="W1552" i="2"/>
  <c r="W1572" i="2"/>
  <c r="W1592" i="2"/>
  <c r="W1612" i="2"/>
  <c r="W1632" i="2"/>
  <c r="W1652" i="2"/>
  <c r="W1672" i="2"/>
  <c r="W1692" i="2"/>
  <c r="V13" i="2"/>
  <c r="V33" i="2"/>
  <c r="V53" i="2"/>
  <c r="V73" i="2"/>
  <c r="V93" i="2"/>
  <c r="V113" i="2"/>
  <c r="V133" i="2"/>
  <c r="V153" i="2"/>
  <c r="V173" i="2"/>
  <c r="V193" i="2"/>
  <c r="V213" i="2"/>
  <c r="V233" i="2"/>
  <c r="V253" i="2"/>
  <c r="V273" i="2"/>
  <c r="V293" i="2"/>
  <c r="V313" i="2"/>
  <c r="V333" i="2"/>
  <c r="V353" i="2"/>
  <c r="V373" i="2"/>
  <c r="V393" i="2"/>
  <c r="V413" i="2"/>
  <c r="V433" i="2"/>
  <c r="V453" i="2"/>
  <c r="V473" i="2"/>
  <c r="V493" i="2"/>
  <c r="V513" i="2"/>
  <c r="V533" i="2"/>
  <c r="V553" i="2"/>
  <c r="V573" i="2"/>
  <c r="V593" i="2"/>
  <c r="V613" i="2"/>
  <c r="V633" i="2"/>
  <c r="V653" i="2"/>
  <c r="V673" i="2"/>
  <c r="V693" i="2"/>
  <c r="V713" i="2"/>
  <c r="V733" i="2"/>
  <c r="V753" i="2"/>
  <c r="V773" i="2"/>
  <c r="V793" i="2"/>
  <c r="V813" i="2"/>
  <c r="V833" i="2"/>
  <c r="V853" i="2"/>
  <c r="V873" i="2"/>
  <c r="V893" i="2"/>
  <c r="V913" i="2"/>
  <c r="V933" i="2"/>
  <c r="V953" i="2"/>
  <c r="V973" i="2"/>
  <c r="V993" i="2"/>
  <c r="V1013" i="2"/>
  <c r="V1033" i="2"/>
  <c r="V1053" i="2"/>
  <c r="V1073" i="2"/>
  <c r="V1093" i="2"/>
  <c r="V1113" i="2"/>
  <c r="V1133" i="2"/>
  <c r="V1153" i="2"/>
  <c r="V1173" i="2"/>
  <c r="V1193" i="2"/>
  <c r="V1213" i="2"/>
  <c r="V1233" i="2"/>
  <c r="V1253" i="2"/>
  <c r="V1273" i="2"/>
  <c r="V1293" i="2"/>
  <c r="V1313" i="2"/>
  <c r="V1333" i="2"/>
  <c r="V1353" i="2"/>
  <c r="V1373" i="2"/>
  <c r="V1393" i="2"/>
  <c r="V1413" i="2"/>
  <c r="V1433" i="2"/>
  <c r="V1453" i="2"/>
  <c r="V1473" i="2"/>
  <c r="V1493" i="2"/>
  <c r="V1513" i="2"/>
  <c r="V1533" i="2"/>
  <c r="V1553" i="2"/>
  <c r="V1573" i="2"/>
  <c r="V1593" i="2"/>
  <c r="V1613" i="2"/>
  <c r="V1633" i="2"/>
  <c r="V1653" i="2"/>
  <c r="W13" i="2"/>
  <c r="W33" i="2"/>
  <c r="W53" i="2"/>
  <c r="W73" i="2"/>
  <c r="W93" i="2"/>
  <c r="W113" i="2"/>
  <c r="W133" i="2"/>
  <c r="W153" i="2"/>
  <c r="W173" i="2"/>
  <c r="W193" i="2"/>
  <c r="W213" i="2"/>
  <c r="W233" i="2"/>
  <c r="W253" i="2"/>
  <c r="W273" i="2"/>
  <c r="W293" i="2"/>
  <c r="W313" i="2"/>
  <c r="W333" i="2"/>
  <c r="W353" i="2"/>
  <c r="W373" i="2"/>
  <c r="W393" i="2"/>
  <c r="W413" i="2"/>
  <c r="W433" i="2"/>
  <c r="W453" i="2"/>
  <c r="W473" i="2"/>
  <c r="W493" i="2"/>
  <c r="W513" i="2"/>
  <c r="W533" i="2"/>
  <c r="W553" i="2"/>
  <c r="W573" i="2"/>
  <c r="W593" i="2"/>
  <c r="W613" i="2"/>
  <c r="W633" i="2"/>
  <c r="W653" i="2"/>
  <c r="W673" i="2"/>
  <c r="W693" i="2"/>
  <c r="W713" i="2"/>
  <c r="W733" i="2"/>
  <c r="W753" i="2"/>
  <c r="W773" i="2"/>
  <c r="W793" i="2"/>
  <c r="W813" i="2"/>
  <c r="W833" i="2"/>
  <c r="W853" i="2"/>
  <c r="W873" i="2"/>
  <c r="W893" i="2"/>
  <c r="W913" i="2"/>
  <c r="W933" i="2"/>
  <c r="W953" i="2"/>
  <c r="W973" i="2"/>
  <c r="W993" i="2"/>
  <c r="W1013" i="2"/>
  <c r="W1033" i="2"/>
  <c r="W1053" i="2"/>
  <c r="W1073" i="2"/>
  <c r="W1093" i="2"/>
  <c r="W1113" i="2"/>
  <c r="W1133" i="2"/>
  <c r="W1153" i="2"/>
  <c r="W1173" i="2"/>
  <c r="W1193" i="2"/>
  <c r="W1213" i="2"/>
  <c r="W1233" i="2"/>
  <c r="W1253" i="2"/>
  <c r="W1273" i="2"/>
  <c r="W1293" i="2"/>
  <c r="W1313" i="2"/>
  <c r="W1333" i="2"/>
  <c r="W1353" i="2"/>
  <c r="W1373" i="2"/>
  <c r="W1393" i="2"/>
  <c r="V14" i="2"/>
  <c r="V34" i="2"/>
  <c r="V54" i="2"/>
  <c r="V74" i="2"/>
  <c r="V94" i="2"/>
  <c r="V114" i="2"/>
  <c r="V134" i="2"/>
  <c r="V154" i="2"/>
  <c r="V174" i="2"/>
  <c r="V194" i="2"/>
  <c r="V214" i="2"/>
  <c r="V234" i="2"/>
  <c r="V254" i="2"/>
  <c r="V274" i="2"/>
  <c r="V294" i="2"/>
  <c r="V314" i="2"/>
  <c r="V334" i="2"/>
  <c r="V354" i="2"/>
  <c r="V374" i="2"/>
  <c r="V394" i="2"/>
  <c r="V414" i="2"/>
  <c r="V434" i="2"/>
  <c r="V454" i="2"/>
  <c r="V474" i="2"/>
  <c r="V494" i="2"/>
  <c r="V514" i="2"/>
  <c r="V534" i="2"/>
  <c r="V554" i="2"/>
  <c r="V574" i="2"/>
  <c r="V594" i="2"/>
  <c r="V614" i="2"/>
  <c r="V634" i="2"/>
  <c r="V654" i="2"/>
  <c r="V674" i="2"/>
  <c r="V694" i="2"/>
  <c r="V714" i="2"/>
  <c r="V734" i="2"/>
  <c r="V754" i="2"/>
  <c r="V774" i="2"/>
  <c r="V794" i="2"/>
  <c r="V814" i="2"/>
  <c r="V834" i="2"/>
  <c r="V854" i="2"/>
  <c r="V874" i="2"/>
  <c r="V894" i="2"/>
  <c r="V914" i="2"/>
  <c r="V934" i="2"/>
  <c r="V954" i="2"/>
  <c r="V974" i="2"/>
  <c r="V994" i="2"/>
  <c r="V1014" i="2"/>
  <c r="V1034" i="2"/>
  <c r="V1054" i="2"/>
  <c r="V1074" i="2"/>
  <c r="V1094" i="2"/>
  <c r="V1114" i="2"/>
  <c r="V1134" i="2"/>
  <c r="V1154" i="2"/>
  <c r="V1174" i="2"/>
  <c r="V1194" i="2"/>
  <c r="V1214" i="2"/>
  <c r="V1234" i="2"/>
  <c r="V1254" i="2"/>
  <c r="V1274" i="2"/>
  <c r="V1294" i="2"/>
  <c r="V1314" i="2"/>
  <c r="V1334" i="2"/>
  <c r="V1354" i="2"/>
  <c r="V1374" i="2"/>
  <c r="V1394" i="2"/>
  <c r="V1414" i="2"/>
  <c r="V1434" i="2"/>
  <c r="V1454" i="2"/>
  <c r="V1474" i="2"/>
  <c r="V1494" i="2"/>
  <c r="V1514" i="2"/>
  <c r="V1534" i="2"/>
  <c r="V1554" i="2"/>
  <c r="V1574" i="2"/>
  <c r="V1594" i="2"/>
  <c r="V1614" i="2"/>
  <c r="V1634" i="2"/>
  <c r="V1654" i="2"/>
  <c r="V1674" i="2"/>
  <c r="V1694" i="2"/>
  <c r="W14" i="2"/>
  <c r="W34" i="2"/>
  <c r="W54" i="2"/>
  <c r="W74" i="2"/>
  <c r="W94" i="2"/>
  <c r="W114" i="2"/>
  <c r="W134" i="2"/>
  <c r="W154" i="2"/>
  <c r="W174" i="2"/>
  <c r="W194" i="2"/>
  <c r="W214" i="2"/>
  <c r="W234" i="2"/>
  <c r="W254" i="2"/>
  <c r="W274" i="2"/>
  <c r="W294" i="2"/>
  <c r="W314" i="2"/>
  <c r="W334" i="2"/>
  <c r="W354" i="2"/>
  <c r="W374" i="2"/>
  <c r="W394" i="2"/>
  <c r="W414" i="2"/>
  <c r="W434" i="2"/>
  <c r="W454" i="2"/>
  <c r="W474" i="2"/>
  <c r="W494" i="2"/>
  <c r="W514" i="2"/>
  <c r="W534" i="2"/>
  <c r="W554" i="2"/>
  <c r="W574" i="2"/>
  <c r="W594" i="2"/>
  <c r="W614" i="2"/>
  <c r="W634" i="2"/>
  <c r="W654" i="2"/>
  <c r="W674" i="2"/>
  <c r="W694" i="2"/>
  <c r="W714" i="2"/>
  <c r="W734" i="2"/>
  <c r="W754" i="2"/>
  <c r="W774" i="2"/>
  <c r="W794" i="2"/>
  <c r="W814" i="2"/>
  <c r="W834" i="2"/>
  <c r="W854" i="2"/>
  <c r="W874" i="2"/>
  <c r="W894" i="2"/>
  <c r="W914" i="2"/>
  <c r="W934" i="2"/>
  <c r="W954" i="2"/>
  <c r="W974" i="2"/>
  <c r="W994" i="2"/>
  <c r="W1014" i="2"/>
  <c r="W1034" i="2"/>
  <c r="W1054" i="2"/>
  <c r="W1074" i="2"/>
  <c r="W1094" i="2"/>
  <c r="W1114" i="2"/>
  <c r="W1134" i="2"/>
  <c r="W1154" i="2"/>
  <c r="W1174" i="2"/>
  <c r="W1194" i="2"/>
  <c r="W1214" i="2"/>
  <c r="W1234" i="2"/>
  <c r="W1254" i="2"/>
  <c r="W1274" i="2"/>
  <c r="W1294" i="2"/>
  <c r="W1314" i="2"/>
  <c r="W1334" i="2"/>
  <c r="W1354" i="2"/>
  <c r="W1374" i="2"/>
  <c r="W1394" i="2"/>
  <c r="W1414" i="2"/>
  <c r="W1434" i="2"/>
  <c r="W1454" i="2"/>
  <c r="W1474" i="2"/>
  <c r="W1494" i="2"/>
  <c r="W1514" i="2"/>
  <c r="W1534" i="2"/>
  <c r="W1554" i="2"/>
  <c r="W1574" i="2"/>
  <c r="W1594" i="2"/>
  <c r="W1614" i="2"/>
  <c r="V15" i="2"/>
  <c r="V35" i="2"/>
  <c r="V55" i="2"/>
  <c r="V75" i="2"/>
  <c r="V95" i="2"/>
  <c r="V115" i="2"/>
  <c r="V135" i="2"/>
  <c r="V155" i="2"/>
  <c r="V175" i="2"/>
  <c r="V195" i="2"/>
  <c r="V215" i="2"/>
  <c r="V235" i="2"/>
  <c r="V255" i="2"/>
  <c r="V275" i="2"/>
  <c r="V295" i="2"/>
  <c r="V315" i="2"/>
  <c r="V335" i="2"/>
  <c r="V355" i="2"/>
  <c r="V375" i="2"/>
  <c r="V395" i="2"/>
  <c r="V415" i="2"/>
  <c r="V435" i="2"/>
  <c r="V455" i="2"/>
  <c r="V475" i="2"/>
  <c r="V495" i="2"/>
  <c r="V515" i="2"/>
  <c r="V535" i="2"/>
  <c r="V555" i="2"/>
  <c r="V575" i="2"/>
  <c r="V595" i="2"/>
  <c r="V615" i="2"/>
  <c r="V635" i="2"/>
  <c r="V655" i="2"/>
  <c r="V675" i="2"/>
  <c r="V695" i="2"/>
  <c r="V715" i="2"/>
  <c r="V735" i="2"/>
  <c r="V755" i="2"/>
  <c r="V775" i="2"/>
  <c r="V795" i="2"/>
  <c r="V815" i="2"/>
  <c r="V835" i="2"/>
  <c r="V855" i="2"/>
  <c r="V875" i="2"/>
  <c r="V895" i="2"/>
  <c r="V915" i="2"/>
  <c r="V935" i="2"/>
  <c r="V955" i="2"/>
  <c r="V975" i="2"/>
  <c r="V995" i="2"/>
  <c r="V1015" i="2"/>
  <c r="V1035" i="2"/>
  <c r="V1055" i="2"/>
  <c r="V1075" i="2"/>
  <c r="V1095" i="2"/>
  <c r="V1115" i="2"/>
  <c r="V1135" i="2"/>
  <c r="V1155" i="2"/>
  <c r="V1175" i="2"/>
  <c r="V1195" i="2"/>
  <c r="V1215" i="2"/>
  <c r="V1235" i="2"/>
  <c r="V1255" i="2"/>
  <c r="V1275" i="2"/>
  <c r="V1295" i="2"/>
  <c r="V1315" i="2"/>
  <c r="W15" i="2"/>
  <c r="W35" i="2"/>
  <c r="W55" i="2"/>
  <c r="W75" i="2"/>
  <c r="W95" i="2"/>
  <c r="W115" i="2"/>
  <c r="W135" i="2"/>
  <c r="W155" i="2"/>
  <c r="W175" i="2"/>
  <c r="W195" i="2"/>
  <c r="W215" i="2"/>
  <c r="W235" i="2"/>
  <c r="W255" i="2"/>
  <c r="W275" i="2"/>
  <c r="W295" i="2"/>
  <c r="W315" i="2"/>
  <c r="W335" i="2"/>
  <c r="W355" i="2"/>
  <c r="W375" i="2"/>
  <c r="W395" i="2"/>
  <c r="W415" i="2"/>
  <c r="W435" i="2"/>
  <c r="W455" i="2"/>
  <c r="W475" i="2"/>
  <c r="W495" i="2"/>
  <c r="W515" i="2"/>
  <c r="W535" i="2"/>
  <c r="W555" i="2"/>
  <c r="W575" i="2"/>
  <c r="W595" i="2"/>
  <c r="W615" i="2"/>
  <c r="W635" i="2"/>
  <c r="W655" i="2"/>
  <c r="W675" i="2"/>
  <c r="W695" i="2"/>
  <c r="W715" i="2"/>
  <c r="W735" i="2"/>
  <c r="W755" i="2"/>
  <c r="W775" i="2"/>
  <c r="W795" i="2"/>
  <c r="W815" i="2"/>
  <c r="W835" i="2"/>
  <c r="W855" i="2"/>
  <c r="W875" i="2"/>
  <c r="W895" i="2"/>
  <c r="W915" i="2"/>
  <c r="W935" i="2"/>
  <c r="W955" i="2"/>
  <c r="W975" i="2"/>
  <c r="W995" i="2"/>
  <c r="W1015" i="2"/>
  <c r="W1035" i="2"/>
  <c r="W1055" i="2"/>
  <c r="W1075" i="2"/>
  <c r="W1095" i="2"/>
  <c r="W1115" i="2"/>
  <c r="W1135" i="2"/>
  <c r="W1155" i="2"/>
  <c r="W1175" i="2"/>
  <c r="W1195" i="2"/>
  <c r="W1215" i="2"/>
  <c r="W1235" i="2"/>
  <c r="W1255" i="2"/>
  <c r="W1275" i="2"/>
  <c r="W1295" i="2"/>
  <c r="W1315" i="2"/>
  <c r="W1335" i="2"/>
  <c r="W1355" i="2"/>
  <c r="W1375" i="2"/>
  <c r="W1395" i="2"/>
  <c r="V16" i="2"/>
  <c r="V36" i="2"/>
  <c r="V56" i="2"/>
  <c r="V76" i="2"/>
  <c r="V96" i="2"/>
  <c r="V116" i="2"/>
  <c r="V136" i="2"/>
  <c r="V156" i="2"/>
  <c r="V176" i="2"/>
  <c r="V196" i="2"/>
  <c r="V216" i="2"/>
  <c r="V236" i="2"/>
  <c r="V256" i="2"/>
  <c r="V276" i="2"/>
  <c r="V296" i="2"/>
  <c r="V316" i="2"/>
  <c r="V336" i="2"/>
  <c r="V356" i="2"/>
  <c r="V376" i="2"/>
  <c r="V396" i="2"/>
  <c r="V416" i="2"/>
  <c r="V436" i="2"/>
  <c r="V456" i="2"/>
  <c r="V476" i="2"/>
  <c r="V496" i="2"/>
  <c r="V516" i="2"/>
  <c r="V536" i="2"/>
  <c r="V556" i="2"/>
  <c r="V576" i="2"/>
  <c r="V596" i="2"/>
  <c r="V616" i="2"/>
  <c r="V636" i="2"/>
  <c r="V656" i="2"/>
  <c r="V676" i="2"/>
  <c r="V696" i="2"/>
  <c r="V716" i="2"/>
  <c r="V736" i="2"/>
  <c r="V756" i="2"/>
  <c r="V776" i="2"/>
  <c r="V796" i="2"/>
  <c r="V816" i="2"/>
  <c r="V836" i="2"/>
  <c r="V856" i="2"/>
  <c r="V876" i="2"/>
  <c r="V896" i="2"/>
  <c r="V916" i="2"/>
  <c r="V936" i="2"/>
  <c r="V956" i="2"/>
  <c r="V976" i="2"/>
  <c r="V996" i="2"/>
  <c r="V1016" i="2"/>
  <c r="V1036" i="2"/>
  <c r="V1056" i="2"/>
  <c r="V1076" i="2"/>
  <c r="V1096" i="2"/>
  <c r="V1116" i="2"/>
  <c r="V1136" i="2"/>
  <c r="V1156" i="2"/>
  <c r="V1176" i="2"/>
  <c r="V1196" i="2"/>
  <c r="V1216" i="2"/>
  <c r="V1236" i="2"/>
  <c r="V1256" i="2"/>
  <c r="V1276" i="2"/>
  <c r="V1296" i="2"/>
  <c r="V1316" i="2"/>
  <c r="V1336" i="2"/>
  <c r="V1356" i="2"/>
  <c r="V1376" i="2"/>
  <c r="V1396" i="2"/>
  <c r="V1416" i="2"/>
  <c r="V1436" i="2"/>
  <c r="V1456" i="2"/>
  <c r="V1476" i="2"/>
  <c r="V1496" i="2"/>
  <c r="W16" i="2"/>
  <c r="W36" i="2"/>
  <c r="W56" i="2"/>
  <c r="W76" i="2"/>
  <c r="W96" i="2"/>
  <c r="W116" i="2"/>
  <c r="W136" i="2"/>
  <c r="W156" i="2"/>
  <c r="W176" i="2"/>
  <c r="W196" i="2"/>
  <c r="W216" i="2"/>
  <c r="W236" i="2"/>
  <c r="W256" i="2"/>
  <c r="W276" i="2"/>
  <c r="W296" i="2"/>
  <c r="W316" i="2"/>
  <c r="W336" i="2"/>
  <c r="W356" i="2"/>
  <c r="W376" i="2"/>
  <c r="W396" i="2"/>
  <c r="W416" i="2"/>
  <c r="W436" i="2"/>
  <c r="W456" i="2"/>
  <c r="W476" i="2"/>
  <c r="W496" i="2"/>
  <c r="W516" i="2"/>
  <c r="W536" i="2"/>
  <c r="W556" i="2"/>
  <c r="W576" i="2"/>
  <c r="W596" i="2"/>
  <c r="W616" i="2"/>
  <c r="W636" i="2"/>
  <c r="W656" i="2"/>
  <c r="W676" i="2"/>
  <c r="W696" i="2"/>
  <c r="W716" i="2"/>
  <c r="W736" i="2"/>
  <c r="W756" i="2"/>
  <c r="W776" i="2"/>
  <c r="W796" i="2"/>
  <c r="W816" i="2"/>
  <c r="W836" i="2"/>
  <c r="W856" i="2"/>
  <c r="W876" i="2"/>
  <c r="W896" i="2"/>
  <c r="W916" i="2"/>
  <c r="W936" i="2"/>
  <c r="W956" i="2"/>
  <c r="W976" i="2"/>
  <c r="W996" i="2"/>
  <c r="W1016" i="2"/>
  <c r="W1036" i="2"/>
  <c r="W1056" i="2"/>
  <c r="W1076" i="2"/>
  <c r="W1096" i="2"/>
  <c r="W1116" i="2"/>
  <c r="W1136" i="2"/>
  <c r="W1156" i="2"/>
  <c r="W1176" i="2"/>
  <c r="W1196" i="2"/>
  <c r="W1216" i="2"/>
  <c r="W1236" i="2"/>
  <c r="W1256" i="2"/>
  <c r="W1276" i="2"/>
  <c r="W1296" i="2"/>
  <c r="W1316" i="2"/>
  <c r="W1336" i="2"/>
  <c r="W1356" i="2"/>
  <c r="W1376" i="2"/>
  <c r="W1396" i="2"/>
  <c r="W1416" i="2"/>
  <c r="W1436" i="2"/>
  <c r="W1456" i="2"/>
  <c r="W1476" i="2"/>
  <c r="W1496" i="2"/>
  <c r="W1516" i="2"/>
  <c r="W1536" i="2"/>
  <c r="W1556" i="2"/>
  <c r="W1576" i="2"/>
  <c r="W1596" i="2"/>
  <c r="W1616" i="2"/>
  <c r="W1636" i="2"/>
  <c r="W1656" i="2"/>
  <c r="W1676" i="2"/>
  <c r="W1696" i="2"/>
  <c r="V17" i="2"/>
  <c r="V37" i="2"/>
  <c r="V57" i="2"/>
  <c r="V77" i="2"/>
  <c r="V97" i="2"/>
  <c r="V117" i="2"/>
  <c r="V137" i="2"/>
  <c r="V157" i="2"/>
  <c r="V177" i="2"/>
  <c r="V197" i="2"/>
  <c r="V217" i="2"/>
  <c r="V237" i="2"/>
  <c r="V257" i="2"/>
  <c r="V277" i="2"/>
  <c r="V297" i="2"/>
  <c r="V317" i="2"/>
  <c r="V337" i="2"/>
  <c r="V357" i="2"/>
  <c r="V377" i="2"/>
  <c r="V397" i="2"/>
  <c r="V417" i="2"/>
  <c r="V437" i="2"/>
  <c r="V457" i="2"/>
  <c r="V477" i="2"/>
  <c r="V497" i="2"/>
  <c r="V517" i="2"/>
  <c r="V537" i="2"/>
  <c r="V557" i="2"/>
  <c r="V577" i="2"/>
  <c r="V597" i="2"/>
  <c r="V617" i="2"/>
  <c r="V637" i="2"/>
  <c r="V657" i="2"/>
  <c r="V677" i="2"/>
  <c r="V697" i="2"/>
  <c r="V717" i="2"/>
  <c r="V737" i="2"/>
  <c r="V757" i="2"/>
  <c r="V777" i="2"/>
  <c r="V797" i="2"/>
  <c r="V817" i="2"/>
  <c r="V837" i="2"/>
  <c r="V857" i="2"/>
  <c r="V877" i="2"/>
  <c r="V897" i="2"/>
  <c r="V917" i="2"/>
  <c r="V937" i="2"/>
  <c r="V957" i="2"/>
  <c r="V977" i="2"/>
  <c r="V997" i="2"/>
  <c r="V1017" i="2"/>
  <c r="V1037" i="2"/>
  <c r="V1057" i="2"/>
  <c r="V1077" i="2"/>
  <c r="V1097" i="2"/>
  <c r="V1117" i="2"/>
  <c r="V1137" i="2"/>
  <c r="V1157" i="2"/>
  <c r="V1177" i="2"/>
  <c r="V1197" i="2"/>
  <c r="V1217" i="2"/>
  <c r="V1237" i="2"/>
  <c r="V1257" i="2"/>
  <c r="V1277" i="2"/>
  <c r="V1297" i="2"/>
  <c r="V1317" i="2"/>
  <c r="V1337" i="2"/>
  <c r="V1357" i="2"/>
  <c r="V1377" i="2"/>
  <c r="V1397" i="2"/>
  <c r="V1417" i="2"/>
  <c r="V1437" i="2"/>
  <c r="V1457" i="2"/>
  <c r="V1477" i="2"/>
  <c r="V1497" i="2"/>
  <c r="V1517" i="2"/>
  <c r="V1537" i="2"/>
  <c r="V1557" i="2"/>
  <c r="V1577" i="2"/>
  <c r="V1597" i="2"/>
  <c r="V1617" i="2"/>
  <c r="V1637" i="2"/>
  <c r="V1657" i="2"/>
  <c r="V1677" i="2"/>
  <c r="V1697" i="2"/>
  <c r="W17" i="2"/>
  <c r="W37" i="2"/>
  <c r="W57" i="2"/>
  <c r="W77" i="2"/>
  <c r="W97" i="2"/>
  <c r="W117" i="2"/>
  <c r="W137" i="2"/>
  <c r="W157" i="2"/>
  <c r="W177" i="2"/>
  <c r="W197" i="2"/>
  <c r="W217" i="2"/>
  <c r="W237" i="2"/>
  <c r="W257" i="2"/>
  <c r="W277" i="2"/>
  <c r="W297" i="2"/>
  <c r="W317" i="2"/>
  <c r="W337" i="2"/>
  <c r="W357" i="2"/>
  <c r="W377" i="2"/>
  <c r="W397" i="2"/>
  <c r="W417" i="2"/>
  <c r="W437" i="2"/>
  <c r="W457" i="2"/>
  <c r="W477" i="2"/>
  <c r="W497" i="2"/>
  <c r="W517" i="2"/>
  <c r="W537" i="2"/>
  <c r="W557" i="2"/>
  <c r="W577" i="2"/>
  <c r="W597" i="2"/>
  <c r="W617" i="2"/>
  <c r="W637" i="2"/>
  <c r="W657" i="2"/>
  <c r="W677" i="2"/>
  <c r="W697" i="2"/>
  <c r="W717" i="2"/>
  <c r="W737" i="2"/>
  <c r="W757" i="2"/>
  <c r="W777" i="2"/>
  <c r="W797" i="2"/>
  <c r="W817" i="2"/>
  <c r="W837" i="2"/>
  <c r="W857" i="2"/>
  <c r="W877" i="2"/>
  <c r="W897" i="2"/>
  <c r="W917" i="2"/>
  <c r="W937" i="2"/>
  <c r="W957" i="2"/>
  <c r="W977" i="2"/>
  <c r="W997" i="2"/>
  <c r="W1017" i="2"/>
  <c r="W1037" i="2"/>
  <c r="W1057" i="2"/>
  <c r="W1077" i="2"/>
  <c r="W1097" i="2"/>
  <c r="W1117" i="2"/>
  <c r="W1137" i="2"/>
  <c r="W1157" i="2"/>
  <c r="W1177" i="2"/>
  <c r="W1197" i="2"/>
  <c r="W1217" i="2"/>
  <c r="W1237" i="2"/>
  <c r="W1257" i="2"/>
  <c r="W1277" i="2"/>
  <c r="W1297" i="2"/>
  <c r="W1317" i="2"/>
  <c r="V18" i="2"/>
  <c r="V38" i="2"/>
  <c r="V58" i="2"/>
  <c r="V78" i="2"/>
  <c r="V98" i="2"/>
  <c r="V118" i="2"/>
  <c r="V138" i="2"/>
  <c r="V158" i="2"/>
  <c r="V178" i="2"/>
  <c r="V198" i="2"/>
  <c r="V218" i="2"/>
  <c r="V238" i="2"/>
  <c r="V258" i="2"/>
  <c r="V278" i="2"/>
  <c r="V298" i="2"/>
  <c r="V318" i="2"/>
  <c r="V338" i="2"/>
  <c r="V358" i="2"/>
  <c r="V378" i="2"/>
  <c r="V398" i="2"/>
  <c r="V418" i="2"/>
  <c r="V438" i="2"/>
  <c r="V458" i="2"/>
  <c r="V478" i="2"/>
  <c r="V498" i="2"/>
  <c r="V518" i="2"/>
  <c r="V538" i="2"/>
  <c r="V558" i="2"/>
  <c r="V578" i="2"/>
  <c r="V598" i="2"/>
  <c r="V618" i="2"/>
  <c r="V638" i="2"/>
  <c r="V658" i="2"/>
  <c r="V678" i="2"/>
  <c r="V698" i="2"/>
  <c r="V718" i="2"/>
  <c r="V738" i="2"/>
  <c r="V758" i="2"/>
  <c r="V778" i="2"/>
  <c r="V798" i="2"/>
  <c r="V818" i="2"/>
  <c r="V838" i="2"/>
  <c r="V858" i="2"/>
  <c r="V878" i="2"/>
  <c r="V898" i="2"/>
  <c r="V918" i="2"/>
  <c r="V938" i="2"/>
  <c r="V958" i="2"/>
  <c r="V978" i="2"/>
  <c r="V998" i="2"/>
  <c r="V1018" i="2"/>
  <c r="V1038" i="2"/>
  <c r="V1058" i="2"/>
  <c r="V1078" i="2"/>
  <c r="V1098" i="2"/>
  <c r="V1118" i="2"/>
  <c r="V1138" i="2"/>
  <c r="V1158" i="2"/>
  <c r="V1178" i="2"/>
  <c r="V1198" i="2"/>
  <c r="V1218" i="2"/>
  <c r="V1238" i="2"/>
  <c r="V1258" i="2"/>
  <c r="V1278" i="2"/>
  <c r="V1298" i="2"/>
  <c r="V1318" i="2"/>
  <c r="V1338" i="2"/>
  <c r="V1358" i="2"/>
  <c r="V1378" i="2"/>
  <c r="V1398" i="2"/>
  <c r="V1418" i="2"/>
  <c r="V1438" i="2"/>
  <c r="V1458" i="2"/>
  <c r="V1478" i="2"/>
  <c r="V1498" i="2"/>
  <c r="V1518" i="2"/>
  <c r="V1538" i="2"/>
  <c r="V1558" i="2"/>
  <c r="V1578" i="2"/>
  <c r="V1598" i="2"/>
  <c r="V1618" i="2"/>
  <c r="W18" i="2"/>
  <c r="W38" i="2"/>
  <c r="W58" i="2"/>
  <c r="W78" i="2"/>
  <c r="W98" i="2"/>
  <c r="W118" i="2"/>
  <c r="W138" i="2"/>
  <c r="W158" i="2"/>
  <c r="W178" i="2"/>
  <c r="W198" i="2"/>
  <c r="W218" i="2"/>
  <c r="W238" i="2"/>
  <c r="W258" i="2"/>
  <c r="W278" i="2"/>
  <c r="W298" i="2"/>
  <c r="W318" i="2"/>
  <c r="W338" i="2"/>
  <c r="W358" i="2"/>
  <c r="W378" i="2"/>
  <c r="W398" i="2"/>
  <c r="W418" i="2"/>
  <c r="W438" i="2"/>
  <c r="W458" i="2"/>
  <c r="W478" i="2"/>
  <c r="W498" i="2"/>
  <c r="W518" i="2"/>
  <c r="W538" i="2"/>
  <c r="W558" i="2"/>
  <c r="W578" i="2"/>
  <c r="W598" i="2"/>
  <c r="W618" i="2"/>
  <c r="W638" i="2"/>
  <c r="W658" i="2"/>
  <c r="W678" i="2"/>
  <c r="W698" i="2"/>
  <c r="W718" i="2"/>
  <c r="W738" i="2"/>
  <c r="W758" i="2"/>
  <c r="W778" i="2"/>
  <c r="W798" i="2"/>
  <c r="W818" i="2"/>
  <c r="W838" i="2"/>
  <c r="W858" i="2"/>
  <c r="W878" i="2"/>
  <c r="W898" i="2"/>
  <c r="W918" i="2"/>
  <c r="W938" i="2"/>
  <c r="W958" i="2"/>
  <c r="W978" i="2"/>
  <c r="W998" i="2"/>
  <c r="W1018" i="2"/>
  <c r="W1038" i="2"/>
  <c r="W1058" i="2"/>
  <c r="W1078" i="2"/>
  <c r="W1098" i="2"/>
  <c r="W1118" i="2"/>
  <c r="W1138" i="2"/>
  <c r="W1158" i="2"/>
  <c r="W1178" i="2"/>
  <c r="W1198" i="2"/>
  <c r="W1218" i="2"/>
  <c r="W1238" i="2"/>
  <c r="W1258" i="2"/>
  <c r="W1278" i="2"/>
  <c r="W1298" i="2"/>
  <c r="W1318" i="2"/>
  <c r="W1338" i="2"/>
  <c r="W1358" i="2"/>
  <c r="W1378" i="2"/>
  <c r="W1398" i="2"/>
  <c r="W1418" i="2"/>
  <c r="V19" i="2"/>
  <c r="V39" i="2"/>
  <c r="V59" i="2"/>
  <c r="V79" i="2"/>
  <c r="V99" i="2"/>
  <c r="V119" i="2"/>
  <c r="V139" i="2"/>
  <c r="V159" i="2"/>
  <c r="V179" i="2"/>
  <c r="V199" i="2"/>
  <c r="V219" i="2"/>
  <c r="V239" i="2"/>
  <c r="V259" i="2"/>
  <c r="V279" i="2"/>
  <c r="V299" i="2"/>
  <c r="V319" i="2"/>
  <c r="V339" i="2"/>
  <c r="V359" i="2"/>
  <c r="V379" i="2"/>
  <c r="V399" i="2"/>
  <c r="V419" i="2"/>
  <c r="V439" i="2"/>
  <c r="V459" i="2"/>
  <c r="V479" i="2"/>
  <c r="V499" i="2"/>
  <c r="V519" i="2"/>
  <c r="V539" i="2"/>
  <c r="V559" i="2"/>
  <c r="V579" i="2"/>
  <c r="V599" i="2"/>
  <c r="V619" i="2"/>
  <c r="V639" i="2"/>
  <c r="V659" i="2"/>
  <c r="V679" i="2"/>
  <c r="V699" i="2"/>
  <c r="V719" i="2"/>
  <c r="V739" i="2"/>
  <c r="V759" i="2"/>
  <c r="V779" i="2"/>
  <c r="V799" i="2"/>
  <c r="V819" i="2"/>
  <c r="V839" i="2"/>
  <c r="V859" i="2"/>
  <c r="V879" i="2"/>
  <c r="V899" i="2"/>
  <c r="V919" i="2"/>
  <c r="V939" i="2"/>
  <c r="V959" i="2"/>
  <c r="V979" i="2"/>
  <c r="V999" i="2"/>
  <c r="V1019" i="2"/>
  <c r="V1039" i="2"/>
  <c r="V1059" i="2"/>
  <c r="V1079" i="2"/>
  <c r="V1099" i="2"/>
  <c r="V1119" i="2"/>
  <c r="V1139" i="2"/>
  <c r="V1159" i="2"/>
  <c r="V1179" i="2"/>
  <c r="V1199" i="2"/>
  <c r="W19" i="2"/>
  <c r="W39" i="2"/>
  <c r="W59" i="2"/>
  <c r="W79" i="2"/>
  <c r="W99" i="2"/>
  <c r="W119" i="2"/>
  <c r="W139" i="2"/>
  <c r="W159" i="2"/>
  <c r="W179" i="2"/>
  <c r="W199" i="2"/>
  <c r="W219" i="2"/>
  <c r="W239" i="2"/>
  <c r="W259" i="2"/>
  <c r="W279" i="2"/>
  <c r="W299" i="2"/>
  <c r="W319" i="2"/>
  <c r="W339" i="2"/>
  <c r="W359" i="2"/>
  <c r="W379" i="2"/>
  <c r="W399" i="2"/>
  <c r="W419" i="2"/>
  <c r="W439" i="2"/>
  <c r="W459" i="2"/>
  <c r="W479" i="2"/>
  <c r="W499" i="2"/>
  <c r="W519" i="2"/>
  <c r="W539" i="2"/>
  <c r="W559" i="2"/>
  <c r="W579" i="2"/>
  <c r="W599" i="2"/>
  <c r="W619" i="2"/>
  <c r="W639" i="2"/>
  <c r="W659" i="2"/>
  <c r="W679" i="2"/>
  <c r="W699" i="2"/>
  <c r="W719" i="2"/>
  <c r="W739" i="2"/>
  <c r="W759" i="2"/>
  <c r="W779" i="2"/>
  <c r="W799" i="2"/>
  <c r="W819" i="2"/>
  <c r="W839" i="2"/>
  <c r="W859" i="2"/>
  <c r="W879" i="2"/>
  <c r="V20" i="2"/>
  <c r="V40" i="2"/>
  <c r="V60" i="2"/>
  <c r="V80" i="2"/>
  <c r="V100" i="2"/>
  <c r="V120" i="2"/>
  <c r="V140" i="2"/>
  <c r="V160" i="2"/>
  <c r="V180" i="2"/>
  <c r="V200" i="2"/>
  <c r="V220" i="2"/>
  <c r="V240" i="2"/>
  <c r="V260" i="2"/>
  <c r="V280" i="2"/>
  <c r="V300" i="2"/>
  <c r="V320" i="2"/>
  <c r="V340" i="2"/>
  <c r="V360" i="2"/>
  <c r="V380" i="2"/>
  <c r="V400" i="2"/>
  <c r="V420" i="2"/>
  <c r="V440" i="2"/>
  <c r="V460" i="2"/>
  <c r="V480" i="2"/>
  <c r="V500" i="2"/>
  <c r="V520" i="2"/>
  <c r="V540" i="2"/>
  <c r="V560" i="2"/>
  <c r="V580" i="2"/>
  <c r="V600" i="2"/>
  <c r="V620" i="2"/>
  <c r="V640" i="2"/>
  <c r="V660" i="2"/>
  <c r="V680" i="2"/>
  <c r="V700" i="2"/>
  <c r="V720" i="2"/>
  <c r="V740" i="2"/>
  <c r="V760" i="2"/>
  <c r="V780" i="2"/>
  <c r="V800" i="2"/>
  <c r="V820" i="2"/>
  <c r="V840" i="2"/>
  <c r="V860" i="2"/>
  <c r="V880" i="2"/>
  <c r="W20" i="2"/>
  <c r="W40" i="2"/>
  <c r="W60" i="2"/>
  <c r="W80" i="2"/>
  <c r="W100" i="2"/>
  <c r="W120" i="2"/>
  <c r="W140" i="2"/>
  <c r="W160" i="2"/>
  <c r="W180" i="2"/>
  <c r="W200" i="2"/>
  <c r="W220" i="2"/>
  <c r="W240" i="2"/>
  <c r="W260" i="2"/>
  <c r="W280" i="2"/>
  <c r="W300" i="2"/>
  <c r="W320" i="2"/>
  <c r="W340" i="2"/>
  <c r="W360" i="2"/>
  <c r="W380" i="2"/>
  <c r="W400" i="2"/>
  <c r="W420" i="2"/>
  <c r="W440" i="2"/>
  <c r="W460" i="2"/>
  <c r="W480" i="2"/>
  <c r="W500" i="2"/>
  <c r="W520" i="2"/>
  <c r="W540" i="2"/>
  <c r="W560" i="2"/>
  <c r="W580" i="2"/>
  <c r="W600" i="2"/>
  <c r="W620" i="2"/>
  <c r="W640" i="2"/>
  <c r="W660" i="2"/>
  <c r="W680" i="2"/>
  <c r="W700" i="2"/>
  <c r="W720" i="2"/>
  <c r="W740" i="2"/>
  <c r="W760" i="2"/>
  <c r="W780" i="2"/>
  <c r="W800" i="2"/>
  <c r="W820" i="2"/>
  <c r="W840" i="2"/>
  <c r="W860" i="2"/>
  <c r="W880" i="2"/>
  <c r="V21" i="2"/>
  <c r="V41" i="2"/>
  <c r="V61" i="2"/>
  <c r="V81" i="2"/>
  <c r="V101" i="2"/>
  <c r="V121" i="2"/>
  <c r="V141" i="2"/>
  <c r="V161" i="2"/>
  <c r="V181" i="2"/>
  <c r="V201" i="2"/>
  <c r="V221" i="2"/>
  <c r="V241" i="2"/>
  <c r="V261" i="2"/>
  <c r="V281" i="2"/>
  <c r="V301" i="2"/>
  <c r="V321" i="2"/>
  <c r="V341" i="2"/>
  <c r="V361" i="2"/>
  <c r="V381" i="2"/>
  <c r="V401" i="2"/>
  <c r="V421" i="2"/>
  <c r="V441" i="2"/>
  <c r="V461" i="2"/>
  <c r="V481" i="2"/>
  <c r="V501" i="2"/>
  <c r="V521" i="2"/>
  <c r="V541" i="2"/>
  <c r="V561" i="2"/>
  <c r="V581" i="2"/>
  <c r="V601" i="2"/>
  <c r="V621" i="2"/>
  <c r="V641" i="2"/>
  <c r="V661" i="2"/>
  <c r="V681" i="2"/>
  <c r="V701" i="2"/>
  <c r="V721" i="2"/>
  <c r="V741" i="2"/>
  <c r="V761" i="2"/>
  <c r="V781" i="2"/>
  <c r="V801" i="2"/>
  <c r="V821" i="2"/>
  <c r="V841" i="2"/>
  <c r="V861" i="2"/>
  <c r="V881" i="2"/>
  <c r="W21" i="2"/>
  <c r="W41" i="2"/>
  <c r="W61" i="2"/>
  <c r="W81" i="2"/>
  <c r="W101" i="2"/>
  <c r="W121" i="2"/>
  <c r="W141" i="2"/>
  <c r="W161" i="2"/>
  <c r="W181" i="2"/>
  <c r="W201" i="2"/>
  <c r="W221" i="2"/>
  <c r="W241" i="2"/>
  <c r="W261" i="2"/>
  <c r="W281" i="2"/>
  <c r="W301" i="2"/>
  <c r="W321" i="2"/>
  <c r="W341" i="2"/>
  <c r="W361" i="2"/>
  <c r="W381" i="2"/>
  <c r="W401" i="2"/>
  <c r="W421" i="2"/>
  <c r="W441" i="2"/>
  <c r="W461" i="2"/>
  <c r="W481" i="2"/>
  <c r="W501" i="2"/>
  <c r="W521" i="2"/>
  <c r="W541" i="2"/>
  <c r="W561" i="2"/>
  <c r="W581" i="2"/>
  <c r="W601" i="2"/>
  <c r="W621" i="2"/>
  <c r="W641" i="2"/>
  <c r="W661" i="2"/>
  <c r="W681" i="2"/>
  <c r="W701" i="2"/>
  <c r="W721" i="2"/>
  <c r="W741" i="2"/>
  <c r="W761" i="2"/>
  <c r="W781" i="2"/>
  <c r="W801" i="2"/>
  <c r="W821" i="2"/>
  <c r="W841" i="2"/>
  <c r="W861" i="2"/>
  <c r="V22" i="2"/>
  <c r="V42" i="2"/>
  <c r="V62" i="2"/>
  <c r="V82" i="2"/>
  <c r="V102" i="2"/>
  <c r="V122" i="2"/>
  <c r="V142" i="2"/>
  <c r="V162" i="2"/>
  <c r="V182" i="2"/>
  <c r="V202" i="2"/>
  <c r="V222" i="2"/>
  <c r="V242" i="2"/>
  <c r="V262" i="2"/>
  <c r="V282" i="2"/>
  <c r="V302" i="2"/>
  <c r="V322" i="2"/>
  <c r="V342" i="2"/>
  <c r="V362" i="2"/>
  <c r="V382" i="2"/>
  <c r="V402" i="2"/>
  <c r="V422" i="2"/>
  <c r="V442" i="2"/>
  <c r="V462" i="2"/>
  <c r="V482" i="2"/>
  <c r="V502" i="2"/>
  <c r="V522" i="2"/>
  <c r="V542" i="2"/>
  <c r="V562" i="2"/>
  <c r="V582" i="2"/>
  <c r="V602" i="2"/>
  <c r="V622" i="2"/>
  <c r="V642" i="2"/>
  <c r="V662" i="2"/>
  <c r="V682" i="2"/>
  <c r="V702" i="2"/>
  <c r="V722" i="2"/>
  <c r="V742" i="2"/>
  <c r="V762" i="2"/>
  <c r="V782" i="2"/>
  <c r="V802" i="2"/>
  <c r="V822" i="2"/>
  <c r="V842" i="2"/>
  <c r="V862" i="2"/>
  <c r="V882" i="2"/>
  <c r="W22" i="2"/>
  <c r="W42" i="2"/>
  <c r="W62" i="2"/>
  <c r="W82" i="2"/>
  <c r="W102" i="2"/>
  <c r="W122" i="2"/>
  <c r="W142" i="2"/>
  <c r="W162" i="2"/>
  <c r="W182" i="2"/>
  <c r="W202" i="2"/>
  <c r="W222" i="2"/>
  <c r="W242" i="2"/>
  <c r="W262" i="2"/>
  <c r="W282" i="2"/>
  <c r="W302" i="2"/>
  <c r="W322" i="2"/>
  <c r="W342" i="2"/>
  <c r="W362" i="2"/>
  <c r="W382" i="2"/>
  <c r="W402" i="2"/>
  <c r="W422" i="2"/>
  <c r="W442" i="2"/>
  <c r="W462" i="2"/>
  <c r="W482" i="2"/>
  <c r="W502" i="2"/>
  <c r="W522" i="2"/>
  <c r="W542" i="2"/>
  <c r="W562" i="2"/>
  <c r="W582" i="2"/>
  <c r="W602" i="2"/>
  <c r="W622" i="2"/>
  <c r="W642" i="2"/>
  <c r="W662" i="2"/>
  <c r="W682" i="2"/>
  <c r="W702" i="2"/>
  <c r="W722" i="2"/>
  <c r="W742" i="2"/>
  <c r="W762" i="2"/>
  <c r="W782" i="2"/>
  <c r="W802" i="2"/>
  <c r="W822" i="2"/>
  <c r="W842" i="2"/>
  <c r="W862" i="2"/>
  <c r="W882" i="2"/>
  <c r="V23" i="2"/>
  <c r="V43" i="2"/>
  <c r="V63" i="2"/>
  <c r="V83" i="2"/>
  <c r="V103" i="2"/>
  <c r="V123" i="2"/>
  <c r="V143" i="2"/>
  <c r="V163" i="2"/>
  <c r="V183" i="2"/>
  <c r="V203" i="2"/>
  <c r="V223" i="2"/>
  <c r="V243" i="2"/>
  <c r="V263" i="2"/>
  <c r="V283" i="2"/>
  <c r="V303" i="2"/>
  <c r="V323" i="2"/>
  <c r="V343" i="2"/>
  <c r="V363" i="2"/>
  <c r="V383" i="2"/>
  <c r="V403" i="2"/>
  <c r="V423" i="2"/>
  <c r="V443" i="2"/>
  <c r="V463" i="2"/>
  <c r="V483" i="2"/>
  <c r="V503" i="2"/>
  <c r="V523" i="2"/>
  <c r="V543" i="2"/>
  <c r="V563" i="2"/>
  <c r="V583" i="2"/>
  <c r="V603" i="2"/>
  <c r="V623" i="2"/>
  <c r="V643" i="2"/>
  <c r="V663" i="2"/>
  <c r="V683" i="2"/>
  <c r="V703" i="2"/>
  <c r="V723" i="2"/>
  <c r="V743" i="2"/>
  <c r="V763" i="2"/>
  <c r="V783" i="2"/>
  <c r="V803" i="2"/>
  <c r="V823" i="2"/>
  <c r="V843" i="2"/>
  <c r="V863" i="2"/>
  <c r="V883" i="2"/>
  <c r="W23" i="2"/>
  <c r="W43" i="2"/>
  <c r="W63" i="2"/>
  <c r="W83" i="2"/>
  <c r="W103" i="2"/>
  <c r="W123" i="2"/>
  <c r="W143" i="2"/>
  <c r="W163" i="2"/>
  <c r="W183" i="2"/>
  <c r="W203" i="2"/>
  <c r="W223" i="2"/>
  <c r="W243" i="2"/>
  <c r="W263" i="2"/>
  <c r="W283" i="2"/>
  <c r="W303" i="2"/>
  <c r="W323" i="2"/>
  <c r="W343" i="2"/>
  <c r="W363" i="2"/>
  <c r="W383" i="2"/>
  <c r="W403" i="2"/>
  <c r="W423" i="2"/>
  <c r="W443" i="2"/>
  <c r="W463" i="2"/>
  <c r="W483" i="2"/>
  <c r="W503" i="2"/>
  <c r="W523" i="2"/>
  <c r="W543" i="2"/>
  <c r="W563" i="2"/>
  <c r="W583" i="2"/>
  <c r="W603" i="2"/>
  <c r="W623" i="2"/>
  <c r="W643" i="2"/>
  <c r="W663" i="2"/>
  <c r="W683" i="2"/>
  <c r="W703" i="2"/>
  <c r="W723" i="2"/>
  <c r="W743" i="2"/>
  <c r="W763" i="2"/>
  <c r="W783" i="2"/>
  <c r="W803" i="2"/>
  <c r="W823" i="2"/>
  <c r="W843" i="2"/>
  <c r="W863" i="2"/>
  <c r="V24" i="2"/>
  <c r="V44" i="2"/>
  <c r="V64" i="2"/>
  <c r="V84" i="2"/>
  <c r="V104" i="2"/>
  <c r="V124" i="2"/>
  <c r="V144" i="2"/>
  <c r="V164" i="2"/>
  <c r="V184" i="2"/>
  <c r="V204" i="2"/>
  <c r="V224" i="2"/>
  <c r="V244" i="2"/>
  <c r="V264" i="2"/>
  <c r="V284" i="2"/>
  <c r="V304" i="2"/>
  <c r="V324" i="2"/>
  <c r="V344" i="2"/>
  <c r="V364" i="2"/>
  <c r="V384" i="2"/>
  <c r="V404" i="2"/>
  <c r="V424" i="2"/>
  <c r="V444" i="2"/>
  <c r="V464" i="2"/>
  <c r="V484" i="2"/>
  <c r="V504" i="2"/>
  <c r="V524" i="2"/>
  <c r="V544" i="2"/>
  <c r="V564" i="2"/>
  <c r="V584" i="2"/>
  <c r="V604" i="2"/>
  <c r="V624" i="2"/>
  <c r="V644" i="2"/>
  <c r="V664" i="2"/>
  <c r="V684" i="2"/>
  <c r="V704" i="2"/>
  <c r="V724" i="2"/>
  <c r="V744" i="2"/>
  <c r="V764" i="2"/>
  <c r="V784" i="2"/>
  <c r="V804" i="2"/>
  <c r="V824" i="2"/>
  <c r="V844" i="2"/>
  <c r="V864" i="2"/>
  <c r="V884" i="2"/>
  <c r="W24" i="2"/>
  <c r="W44" i="2"/>
  <c r="W64" i="2"/>
  <c r="W84" i="2"/>
  <c r="W104" i="2"/>
  <c r="W124" i="2"/>
  <c r="W144" i="2"/>
  <c r="W164" i="2"/>
  <c r="W184" i="2"/>
  <c r="W204" i="2"/>
  <c r="W224" i="2"/>
  <c r="W244" i="2"/>
  <c r="W264" i="2"/>
  <c r="W284" i="2"/>
  <c r="W304" i="2"/>
  <c r="W324" i="2"/>
  <c r="W344" i="2"/>
  <c r="W364" i="2"/>
  <c r="W384" i="2"/>
  <c r="W404" i="2"/>
  <c r="W424" i="2"/>
  <c r="W444" i="2"/>
  <c r="W464" i="2"/>
  <c r="W484" i="2"/>
  <c r="W504" i="2"/>
  <c r="W524" i="2"/>
  <c r="W544" i="2"/>
  <c r="W564" i="2"/>
  <c r="W584" i="2"/>
  <c r="W604" i="2"/>
  <c r="W624" i="2"/>
  <c r="W644" i="2"/>
  <c r="W664" i="2"/>
  <c r="W684" i="2"/>
  <c r="W704" i="2"/>
  <c r="W724" i="2"/>
  <c r="W744" i="2"/>
  <c r="W764" i="2"/>
  <c r="W784" i="2"/>
  <c r="W804" i="2"/>
  <c r="W824" i="2"/>
  <c r="W844" i="2"/>
  <c r="W864" i="2"/>
  <c r="W884" i="2"/>
  <c r="V25" i="2"/>
  <c r="V45" i="2"/>
  <c r="V65" i="2"/>
  <c r="V85" i="2"/>
  <c r="V105" i="2"/>
  <c r="V125" i="2"/>
  <c r="V145" i="2"/>
  <c r="V165" i="2"/>
  <c r="V185" i="2"/>
  <c r="V205" i="2"/>
  <c r="V225" i="2"/>
  <c r="V245" i="2"/>
  <c r="V265" i="2"/>
  <c r="V285" i="2"/>
  <c r="V305" i="2"/>
  <c r="V325" i="2"/>
  <c r="V345" i="2"/>
  <c r="V365" i="2"/>
  <c r="V385" i="2"/>
  <c r="V405" i="2"/>
  <c r="V425" i="2"/>
  <c r="V445" i="2"/>
  <c r="V465" i="2"/>
  <c r="V485" i="2"/>
  <c r="V505" i="2"/>
  <c r="V525" i="2"/>
  <c r="V545" i="2"/>
  <c r="V565" i="2"/>
  <c r="V585" i="2"/>
  <c r="V605" i="2"/>
  <c r="V625" i="2"/>
  <c r="V645" i="2"/>
  <c r="V665" i="2"/>
  <c r="V685" i="2"/>
  <c r="V705" i="2"/>
  <c r="V725" i="2"/>
  <c r="V745" i="2"/>
  <c r="V765" i="2"/>
  <c r="V785" i="2"/>
  <c r="V805" i="2"/>
  <c r="V825" i="2"/>
  <c r="V845" i="2"/>
  <c r="V865" i="2"/>
  <c r="V885" i="2"/>
  <c r="W25" i="2"/>
  <c r="W45" i="2"/>
  <c r="W65" i="2"/>
  <c r="W85" i="2"/>
  <c r="W105" i="2"/>
  <c r="W125" i="2"/>
  <c r="W145" i="2"/>
  <c r="W165" i="2"/>
  <c r="W185" i="2"/>
  <c r="W205" i="2"/>
  <c r="W225" i="2"/>
  <c r="W245" i="2"/>
  <c r="W265" i="2"/>
  <c r="W285" i="2"/>
  <c r="W305" i="2"/>
  <c r="W325" i="2"/>
  <c r="W345" i="2"/>
  <c r="W365" i="2"/>
  <c r="W385" i="2"/>
  <c r="W405" i="2"/>
  <c r="W425" i="2"/>
  <c r="W445" i="2"/>
  <c r="W465" i="2"/>
  <c r="W485" i="2"/>
  <c r="W505" i="2"/>
  <c r="W525" i="2"/>
  <c r="W545" i="2"/>
  <c r="W565" i="2"/>
  <c r="W585" i="2"/>
  <c r="W605" i="2"/>
  <c r="W625" i="2"/>
  <c r="W645" i="2"/>
  <c r="W665" i="2"/>
  <c r="W685" i="2"/>
  <c r="W705" i="2"/>
  <c r="W725" i="2"/>
  <c r="W745" i="2"/>
  <c r="W765" i="2"/>
  <c r="W785" i="2"/>
  <c r="W805" i="2"/>
  <c r="W825" i="2"/>
  <c r="W845" i="2"/>
  <c r="W865" i="2"/>
  <c r="W885" i="2"/>
  <c r="V26" i="2"/>
  <c r="V46" i="2"/>
  <c r="V66" i="2"/>
  <c r="V86" i="2"/>
  <c r="V106" i="2"/>
  <c r="V126" i="2"/>
  <c r="V146" i="2"/>
  <c r="V166" i="2"/>
  <c r="V186" i="2"/>
  <c r="V206" i="2"/>
  <c r="V226" i="2"/>
  <c r="V246" i="2"/>
  <c r="V266" i="2"/>
  <c r="V286" i="2"/>
  <c r="V306" i="2"/>
  <c r="V326" i="2"/>
  <c r="V346" i="2"/>
  <c r="V366" i="2"/>
  <c r="V386" i="2"/>
  <c r="V406" i="2"/>
  <c r="V426" i="2"/>
  <c r="V446" i="2"/>
  <c r="V466" i="2"/>
  <c r="V486" i="2"/>
  <c r="V506" i="2"/>
  <c r="V526" i="2"/>
  <c r="V546" i="2"/>
  <c r="V566" i="2"/>
  <c r="V586" i="2"/>
  <c r="V606" i="2"/>
  <c r="V626" i="2"/>
  <c r="V646" i="2"/>
  <c r="V666" i="2"/>
  <c r="V686" i="2"/>
  <c r="V706" i="2"/>
  <c r="V726" i="2"/>
  <c r="V746" i="2"/>
  <c r="V766" i="2"/>
  <c r="V786" i="2"/>
  <c r="V806" i="2"/>
  <c r="V826" i="2"/>
  <c r="V846" i="2"/>
  <c r="V866" i="2"/>
  <c r="V886" i="2"/>
  <c r="W26" i="2"/>
  <c r="W46" i="2"/>
  <c r="W66" i="2"/>
  <c r="W86" i="2"/>
  <c r="W106" i="2"/>
  <c r="W126" i="2"/>
  <c r="W146" i="2"/>
  <c r="W166" i="2"/>
  <c r="W186" i="2"/>
  <c r="W206" i="2"/>
  <c r="W226" i="2"/>
  <c r="W246" i="2"/>
  <c r="W266" i="2"/>
  <c r="W286" i="2"/>
  <c r="W306" i="2"/>
  <c r="W326" i="2"/>
  <c r="W346" i="2"/>
  <c r="W366" i="2"/>
  <c r="W386" i="2"/>
  <c r="W406" i="2"/>
  <c r="W426" i="2"/>
  <c r="W446" i="2"/>
  <c r="W466" i="2"/>
  <c r="W486" i="2"/>
  <c r="W506" i="2"/>
  <c r="W526" i="2"/>
  <c r="W546" i="2"/>
  <c r="W566" i="2"/>
  <c r="W586" i="2"/>
  <c r="W606" i="2"/>
  <c r="W626" i="2"/>
  <c r="W646" i="2"/>
  <c r="W666" i="2"/>
  <c r="W686" i="2"/>
  <c r="W706" i="2"/>
  <c r="W726" i="2"/>
  <c r="W746" i="2"/>
  <c r="W766" i="2"/>
  <c r="W786" i="2"/>
  <c r="W806" i="2"/>
  <c r="W826" i="2"/>
  <c r="W846" i="2"/>
  <c r="W866" i="2"/>
  <c r="W886" i="2"/>
  <c r="V27" i="2"/>
  <c r="V47" i="2"/>
  <c r="V67" i="2"/>
  <c r="V87" i="2"/>
  <c r="V107" i="2"/>
  <c r="V127" i="2"/>
  <c r="V147" i="2"/>
  <c r="V167" i="2"/>
  <c r="V187" i="2"/>
  <c r="V207" i="2"/>
  <c r="V227" i="2"/>
  <c r="V247" i="2"/>
  <c r="V267" i="2"/>
  <c r="V287" i="2"/>
  <c r="V307" i="2"/>
  <c r="V327" i="2"/>
  <c r="V347" i="2"/>
  <c r="V367" i="2"/>
  <c r="V387" i="2"/>
  <c r="V407" i="2"/>
  <c r="V427" i="2"/>
  <c r="V447" i="2"/>
  <c r="V467" i="2"/>
  <c r="V487" i="2"/>
  <c r="V507" i="2"/>
  <c r="V527" i="2"/>
  <c r="V547" i="2"/>
  <c r="V567" i="2"/>
  <c r="V587" i="2"/>
  <c r="V607" i="2"/>
  <c r="V627" i="2"/>
  <c r="V647" i="2"/>
  <c r="V667" i="2"/>
  <c r="V687" i="2"/>
  <c r="V707" i="2"/>
  <c r="V727" i="2"/>
  <c r="V747" i="2"/>
  <c r="V767" i="2"/>
  <c r="V787" i="2"/>
  <c r="V807" i="2"/>
  <c r="V827" i="2"/>
  <c r="V847" i="2"/>
  <c r="W27" i="2"/>
  <c r="W47" i="2"/>
  <c r="W67" i="2"/>
  <c r="W87" i="2"/>
  <c r="W107" i="2"/>
  <c r="W127" i="2"/>
  <c r="W147" i="2"/>
  <c r="W167" i="2"/>
  <c r="W187" i="2"/>
  <c r="W207" i="2"/>
  <c r="W227" i="2"/>
  <c r="W247" i="2"/>
  <c r="W267" i="2"/>
  <c r="W287" i="2"/>
  <c r="W307" i="2"/>
  <c r="W327" i="2"/>
  <c r="W347" i="2"/>
  <c r="W367" i="2"/>
  <c r="W387" i="2"/>
  <c r="W407" i="2"/>
  <c r="W427" i="2"/>
  <c r="W447" i="2"/>
  <c r="W467" i="2"/>
  <c r="V28" i="2"/>
  <c r="V48" i="2"/>
  <c r="V68" i="2"/>
  <c r="V88" i="2"/>
  <c r="V108" i="2"/>
  <c r="V128" i="2"/>
  <c r="V148" i="2"/>
  <c r="V168" i="2"/>
  <c r="V188" i="2"/>
  <c r="V208" i="2"/>
  <c r="V228" i="2"/>
  <c r="V248" i="2"/>
  <c r="V268" i="2"/>
  <c r="V288" i="2"/>
  <c r="V308" i="2"/>
  <c r="V328" i="2"/>
  <c r="V348" i="2"/>
  <c r="V368" i="2"/>
  <c r="V388" i="2"/>
  <c r="V408" i="2"/>
  <c r="V428" i="2"/>
  <c r="V448" i="2"/>
  <c r="V468" i="2"/>
  <c r="V488" i="2"/>
  <c r="V508" i="2"/>
  <c r="V528" i="2"/>
  <c r="V548" i="2"/>
  <c r="V568" i="2"/>
  <c r="V588" i="2"/>
  <c r="V608" i="2"/>
  <c r="V628" i="2"/>
  <c r="V648" i="2"/>
  <c r="V668" i="2"/>
  <c r="V688" i="2"/>
  <c r="V708" i="2"/>
  <c r="V728" i="2"/>
  <c r="V748" i="2"/>
  <c r="V768" i="2"/>
  <c r="V788" i="2"/>
  <c r="V808" i="2"/>
  <c r="V828" i="2"/>
  <c r="V848" i="2"/>
  <c r="V868" i="2"/>
  <c r="V888" i="2"/>
  <c r="W28" i="2"/>
  <c r="W48" i="2"/>
  <c r="W68" i="2"/>
  <c r="W88" i="2"/>
  <c r="W108" i="2"/>
  <c r="W128" i="2"/>
  <c r="W148" i="2"/>
  <c r="W168" i="2"/>
  <c r="W188" i="2"/>
  <c r="W208" i="2"/>
  <c r="W228" i="2"/>
  <c r="W248" i="2"/>
  <c r="W268" i="2"/>
  <c r="W288" i="2"/>
  <c r="W308" i="2"/>
  <c r="W328" i="2"/>
  <c r="W348" i="2"/>
  <c r="W368" i="2"/>
  <c r="W388" i="2"/>
  <c r="W408" i="2"/>
  <c r="W428" i="2"/>
  <c r="W448" i="2"/>
  <c r="W468" i="2"/>
  <c r="W488" i="2"/>
  <c r="W508" i="2"/>
  <c r="W528" i="2"/>
  <c r="W548" i="2"/>
  <c r="W568" i="2"/>
  <c r="W588" i="2"/>
  <c r="W608" i="2"/>
  <c r="W628" i="2"/>
  <c r="W648" i="2"/>
  <c r="W668" i="2"/>
  <c r="W688" i="2"/>
  <c r="W708" i="2"/>
  <c r="V29" i="2"/>
  <c r="V49" i="2"/>
  <c r="V69" i="2"/>
  <c r="V89" i="2"/>
  <c r="V109" i="2"/>
  <c r="V129" i="2"/>
  <c r="V149" i="2"/>
  <c r="V169" i="2"/>
  <c r="V189" i="2"/>
  <c r="V209" i="2"/>
  <c r="V229" i="2"/>
  <c r="V249" i="2"/>
  <c r="V269" i="2"/>
  <c r="V289" i="2"/>
  <c r="V309" i="2"/>
  <c r="V329" i="2"/>
  <c r="V349" i="2"/>
  <c r="V369" i="2"/>
  <c r="V389" i="2"/>
  <c r="V409" i="2"/>
  <c r="V429" i="2"/>
  <c r="V449" i="2"/>
  <c r="V469" i="2"/>
  <c r="V489" i="2"/>
  <c r="V509" i="2"/>
  <c r="V529" i="2"/>
  <c r="V549" i="2"/>
  <c r="V569" i="2"/>
  <c r="V589" i="2"/>
  <c r="V609" i="2"/>
  <c r="V629" i="2"/>
  <c r="V649" i="2"/>
  <c r="V669" i="2"/>
  <c r="V689" i="2"/>
  <c r="V709" i="2"/>
  <c r="V729" i="2"/>
  <c r="V749" i="2"/>
  <c r="V769" i="2"/>
  <c r="V789" i="2"/>
  <c r="W29" i="2"/>
  <c r="W49" i="2"/>
  <c r="W69" i="2"/>
  <c r="W89" i="2"/>
  <c r="W109" i="2"/>
  <c r="W129" i="2"/>
  <c r="W149" i="2"/>
  <c r="W169" i="2"/>
  <c r="W189" i="2"/>
  <c r="W209" i="2"/>
  <c r="W229" i="2"/>
  <c r="W249" i="2"/>
  <c r="W269" i="2"/>
  <c r="W289" i="2"/>
  <c r="W309" i="2"/>
  <c r="W329" i="2"/>
  <c r="W349" i="2"/>
  <c r="W369" i="2"/>
  <c r="W389" i="2"/>
  <c r="W409" i="2"/>
  <c r="W429" i="2"/>
  <c r="W449" i="2"/>
  <c r="W469" i="2"/>
  <c r="W489" i="2"/>
  <c r="W509" i="2"/>
  <c r="V30" i="2"/>
  <c r="V430" i="2"/>
  <c r="W667" i="2"/>
  <c r="V829" i="2"/>
  <c r="W906" i="2"/>
  <c r="W943" i="2"/>
  <c r="W980" i="2"/>
  <c r="V1009" i="2"/>
  <c r="V1046" i="2"/>
  <c r="V1083" i="2"/>
  <c r="V1120" i="2"/>
  <c r="W1148" i="2"/>
  <c r="W1185" i="2"/>
  <c r="V1222" i="2"/>
  <c r="V1250" i="2"/>
  <c r="V1286" i="2"/>
  <c r="V1322" i="2"/>
  <c r="V1349" i="2"/>
  <c r="V1383" i="2"/>
  <c r="V1410" i="2"/>
  <c r="W1441" i="2"/>
  <c r="V1467" i="2"/>
  <c r="W1497" i="2"/>
  <c r="V1523" i="2"/>
  <c r="V1548" i="2"/>
  <c r="W1577" i="2"/>
  <c r="V1603" i="2"/>
  <c r="V1628" i="2"/>
  <c r="W1653" i="2"/>
  <c r="V1678" i="2"/>
  <c r="W1700" i="2"/>
  <c r="W1720" i="2"/>
  <c r="W1740" i="2"/>
  <c r="W1760" i="2"/>
  <c r="W1780" i="2"/>
  <c r="V1782" i="2"/>
  <c r="V1763" i="2"/>
  <c r="W1743" i="2"/>
  <c r="V1744" i="2"/>
  <c r="V1527" i="2"/>
  <c r="W1764" i="2"/>
  <c r="W1725" i="2"/>
  <c r="V1788" i="2"/>
  <c r="W1506" i="2"/>
  <c r="V1789" i="2"/>
  <c r="V1587" i="2"/>
  <c r="W1687" i="2"/>
  <c r="V1426" i="2"/>
  <c r="W1730" i="2"/>
  <c r="W1483" i="2"/>
  <c r="V1773" i="2"/>
  <c r="W1733" i="2"/>
  <c r="V1774" i="2"/>
  <c r="W1754" i="2"/>
  <c r="V1755" i="2"/>
  <c r="V1695" i="2"/>
  <c r="W1756" i="2"/>
  <c r="V1696" i="2"/>
  <c r="W1717" i="2"/>
  <c r="V1778" i="2"/>
  <c r="V1184" i="2"/>
  <c r="W1466" i="2"/>
  <c r="V1740" i="2"/>
  <c r="W30" i="2"/>
  <c r="W430" i="2"/>
  <c r="W669" i="2"/>
  <c r="W829" i="2"/>
  <c r="V907" i="2"/>
  <c r="V944" i="2"/>
  <c r="V981" i="2"/>
  <c r="W1009" i="2"/>
  <c r="W1046" i="2"/>
  <c r="W1083" i="2"/>
  <c r="W1120" i="2"/>
  <c r="V1149" i="2"/>
  <c r="V1186" i="2"/>
  <c r="W1222" i="2"/>
  <c r="W1250" i="2"/>
  <c r="W1286" i="2"/>
  <c r="W1322" i="2"/>
  <c r="W1349" i="2"/>
  <c r="W1383" i="2"/>
  <c r="W1410" i="2"/>
  <c r="V1442" i="2"/>
  <c r="W1467" i="2"/>
  <c r="W1498" i="2"/>
  <c r="W1523" i="2"/>
  <c r="W1548" i="2"/>
  <c r="W1578" i="2"/>
  <c r="W1603" i="2"/>
  <c r="W1628" i="2"/>
  <c r="W1654" i="2"/>
  <c r="W1678" i="2"/>
  <c r="V1701" i="2"/>
  <c r="V1721" i="2"/>
  <c r="V1741" i="2"/>
  <c r="V1761" i="2"/>
  <c r="V1781" i="2"/>
  <c r="W1721" i="2"/>
  <c r="W1761" i="2"/>
  <c r="V1743" i="2"/>
  <c r="V1681" i="2"/>
  <c r="V1784" i="2"/>
  <c r="W1555" i="2"/>
  <c r="W1784" i="2"/>
  <c r="V1683" i="2"/>
  <c r="V1748" i="2"/>
  <c r="V1481" i="2"/>
  <c r="V1562" i="2"/>
  <c r="V1482" i="2"/>
  <c r="W10" i="2"/>
  <c r="V1483" i="2"/>
  <c r="W1771" i="2"/>
  <c r="V1643" i="2"/>
  <c r="W1620" i="2"/>
  <c r="W1668" i="2"/>
  <c r="V1646" i="2"/>
  <c r="V1716" i="2"/>
  <c r="W1695" i="2"/>
  <c r="W1490" i="2"/>
  <c r="V1466" i="2"/>
  <c r="W1650" i="2"/>
  <c r="W1008" i="2"/>
  <c r="V50" i="2"/>
  <c r="V450" i="2"/>
  <c r="V670" i="2"/>
  <c r="V830" i="2"/>
  <c r="W907" i="2"/>
  <c r="W944" i="2"/>
  <c r="W981" i="2"/>
  <c r="V1010" i="2"/>
  <c r="V1047" i="2"/>
  <c r="V1084" i="2"/>
  <c r="V1121" i="2"/>
  <c r="W1149" i="2"/>
  <c r="W1186" i="2"/>
  <c r="V1223" i="2"/>
  <c r="V1259" i="2"/>
  <c r="V1287" i="2"/>
  <c r="V1323" i="2"/>
  <c r="V1350" i="2"/>
  <c r="V1384" i="2"/>
  <c r="W1413" i="2"/>
  <c r="W1442" i="2"/>
  <c r="V1468" i="2"/>
  <c r="V1499" i="2"/>
  <c r="V1524" i="2"/>
  <c r="V1549" i="2"/>
  <c r="V1579" i="2"/>
  <c r="V1604" i="2"/>
  <c r="V1629" i="2"/>
  <c r="V1655" i="2"/>
  <c r="V1679" i="2"/>
  <c r="W1701" i="2"/>
  <c r="W1741" i="2"/>
  <c r="W1781" i="2"/>
  <c r="V1783" i="2"/>
  <c r="W1763" i="2"/>
  <c r="V1724" i="2"/>
  <c r="V1607" i="2"/>
  <c r="W1724" i="2"/>
  <c r="V1725" i="2"/>
  <c r="V1707" i="2"/>
  <c r="W1748" i="2"/>
  <c r="W1586" i="2"/>
  <c r="V1507" i="2"/>
  <c r="W1729" i="2"/>
  <c r="V1536" i="2"/>
  <c r="W1641" i="2"/>
  <c r="W1688" i="2"/>
  <c r="V1689" i="2"/>
  <c r="V1712" i="2"/>
  <c r="W1752" i="2"/>
  <c r="V1733" i="2"/>
  <c r="V1645" i="2"/>
  <c r="V1715" i="2"/>
  <c r="W1775" i="2"/>
  <c r="V1776" i="2"/>
  <c r="W1736" i="2"/>
  <c r="V1673" i="2"/>
  <c r="W1649" i="2"/>
  <c r="V410" i="2"/>
  <c r="W50" i="2"/>
  <c r="W450" i="2"/>
  <c r="W670" i="2"/>
  <c r="W830" i="2"/>
  <c r="V908" i="2"/>
  <c r="V945" i="2"/>
  <c r="V982" i="2"/>
  <c r="W1010" i="2"/>
  <c r="W1047" i="2"/>
  <c r="W1084" i="2"/>
  <c r="W1121" i="2"/>
  <c r="V1150" i="2"/>
  <c r="V1187" i="2"/>
  <c r="W1223" i="2"/>
  <c r="W1259" i="2"/>
  <c r="W1287" i="2"/>
  <c r="W1323" i="2"/>
  <c r="W1350" i="2"/>
  <c r="W1384" i="2"/>
  <c r="V1415" i="2"/>
  <c r="V1443" i="2"/>
  <c r="W1468" i="2"/>
  <c r="W1499" i="2"/>
  <c r="W1524" i="2"/>
  <c r="W1549" i="2"/>
  <c r="W1579" i="2"/>
  <c r="W1604" i="2"/>
  <c r="W1629" i="2"/>
  <c r="W1655" i="2"/>
  <c r="W1679" i="2"/>
  <c r="V1702" i="2"/>
  <c r="V1722" i="2"/>
  <c r="V1742" i="2"/>
  <c r="V1762" i="2"/>
  <c r="W1723" i="2"/>
  <c r="W1445" i="2"/>
  <c r="W1744" i="2"/>
  <c r="W1785" i="2"/>
  <c r="W1767" i="2"/>
  <c r="W1330" i="2"/>
  <c r="W1640" i="2"/>
  <c r="W1507" i="2"/>
  <c r="V1770" i="2"/>
  <c r="W1426" i="2"/>
  <c r="V1565" i="2"/>
  <c r="W1593" i="2"/>
  <c r="W1734" i="2"/>
  <c r="V1775" i="2"/>
  <c r="W1755" i="2"/>
  <c r="V1624" i="2"/>
  <c r="V1601" i="2"/>
  <c r="W827" i="2"/>
  <c r="V70" i="2"/>
  <c r="V470" i="2"/>
  <c r="W687" i="2"/>
  <c r="W847" i="2"/>
  <c r="W908" i="2"/>
  <c r="W945" i="2"/>
  <c r="W982" i="2"/>
  <c r="W1019" i="2"/>
  <c r="V1048" i="2"/>
  <c r="V1085" i="2"/>
  <c r="V1122" i="2"/>
  <c r="W1150" i="2"/>
  <c r="W1187" i="2"/>
  <c r="V1224" i="2"/>
  <c r="V1260" i="2"/>
  <c r="V1288" i="2"/>
  <c r="V1324" i="2"/>
  <c r="V1355" i="2"/>
  <c r="V1385" i="2"/>
  <c r="W1415" i="2"/>
  <c r="W1443" i="2"/>
  <c r="V1469" i="2"/>
  <c r="V1500" i="2"/>
  <c r="V1525" i="2"/>
  <c r="V1550" i="2"/>
  <c r="V1580" i="2"/>
  <c r="V1605" i="2"/>
  <c r="V1630" i="2"/>
  <c r="V1656" i="2"/>
  <c r="V1680" i="2"/>
  <c r="W1702" i="2"/>
  <c r="W1722" i="2"/>
  <c r="W1742" i="2"/>
  <c r="W1762" i="2"/>
  <c r="W1782" i="2"/>
  <c r="W1630" i="2"/>
  <c r="W1680" i="2"/>
  <c r="V1723" i="2"/>
  <c r="W1703" i="2"/>
  <c r="V1764" i="2"/>
  <c r="V1582" i="2"/>
  <c r="W1704" i="2"/>
  <c r="V1705" i="2"/>
  <c r="W1745" i="2"/>
  <c r="V1768" i="2"/>
  <c r="W1397" i="2"/>
  <c r="V1687" i="2"/>
  <c r="W1425" i="2"/>
  <c r="W1710" i="2"/>
  <c r="W1538" i="2"/>
  <c r="W1751" i="2"/>
  <c r="W1589" i="2"/>
  <c r="W1590" i="2"/>
  <c r="V1692" i="2"/>
  <c r="W1774" i="2"/>
  <c r="W1715" i="2"/>
  <c r="V1756" i="2"/>
  <c r="W1716" i="2"/>
  <c r="V1648" i="2"/>
  <c r="V1465" i="2"/>
  <c r="W1440" i="2"/>
  <c r="W1739" i="2"/>
  <c r="W1045" i="2"/>
  <c r="W70" i="2"/>
  <c r="W470" i="2"/>
  <c r="W689" i="2"/>
  <c r="W848" i="2"/>
  <c r="V909" i="2"/>
  <c r="V946" i="2"/>
  <c r="V983" i="2"/>
  <c r="V1020" i="2"/>
  <c r="W1048" i="2"/>
  <c r="W1085" i="2"/>
  <c r="W1122" i="2"/>
  <c r="W1159" i="2"/>
  <c r="V1188" i="2"/>
  <c r="W1224" i="2"/>
  <c r="W1260" i="2"/>
  <c r="W1288" i="2"/>
  <c r="W1324" i="2"/>
  <c r="W1357" i="2"/>
  <c r="W1385" i="2"/>
  <c r="W1417" i="2"/>
  <c r="V1444" i="2"/>
  <c r="W1469" i="2"/>
  <c r="W1500" i="2"/>
  <c r="W1525" i="2"/>
  <c r="W1550" i="2"/>
  <c r="W1580" i="2"/>
  <c r="W1605" i="2"/>
  <c r="W1657" i="2"/>
  <c r="V1703" i="2"/>
  <c r="W1473" i="2"/>
  <c r="W1788" i="2"/>
  <c r="W1663" i="2"/>
  <c r="V1365" i="2"/>
  <c r="V1665" i="2"/>
  <c r="V1731" i="2"/>
  <c r="W1642" i="2"/>
  <c r="W1643" i="2"/>
  <c r="V1621" i="2"/>
  <c r="W1714" i="2"/>
  <c r="W1646" i="2"/>
  <c r="W1738" i="2"/>
  <c r="V1719" i="2"/>
  <c r="W1147" i="2"/>
  <c r="V90" i="2"/>
  <c r="W487" i="2"/>
  <c r="V690" i="2"/>
  <c r="V849" i="2"/>
  <c r="W909" i="2"/>
  <c r="W946" i="2"/>
  <c r="W983" i="2"/>
  <c r="W1020" i="2"/>
  <c r="V1049" i="2"/>
  <c r="V1086" i="2"/>
  <c r="V1123" i="2"/>
  <c r="V1160" i="2"/>
  <c r="W1188" i="2"/>
  <c r="V1225" i="2"/>
  <c r="V1261" i="2"/>
  <c r="V1289" i="2"/>
  <c r="V1325" i="2"/>
  <c r="V1359" i="2"/>
  <c r="V1386" i="2"/>
  <c r="V1419" i="2"/>
  <c r="W1444" i="2"/>
  <c r="V1470" i="2"/>
  <c r="V1501" i="2"/>
  <c r="V1526" i="2"/>
  <c r="W1553" i="2"/>
  <c r="V1581" i="2"/>
  <c r="V1606" i="2"/>
  <c r="V1632" i="2"/>
  <c r="V1658" i="2"/>
  <c r="W1783" i="2"/>
  <c r="V1682" i="2"/>
  <c r="W1682" i="2"/>
  <c r="V1785" i="2"/>
  <c r="W1765" i="2"/>
  <c r="V1767" i="2"/>
  <c r="W1768" i="2"/>
  <c r="W1364" i="2"/>
  <c r="W1749" i="2"/>
  <c r="W1365" i="2"/>
  <c r="V1730" i="2"/>
  <c r="W1750" i="2"/>
  <c r="W1455" i="2"/>
  <c r="W1509" i="2"/>
  <c r="W1666" i="2"/>
  <c r="W1772" i="2"/>
  <c r="W1667" i="2"/>
  <c r="W1753" i="2"/>
  <c r="V1754" i="2"/>
  <c r="V1669" i="2"/>
  <c r="V1735" i="2"/>
  <c r="V1670" i="2"/>
  <c r="V1736" i="2"/>
  <c r="W1647" i="2"/>
  <c r="W1573" i="2"/>
  <c r="W1110" i="2"/>
  <c r="V1720" i="2"/>
  <c r="W90" i="2"/>
  <c r="V490" i="2"/>
  <c r="W690" i="2"/>
  <c r="W849" i="2"/>
  <c r="V910" i="2"/>
  <c r="V947" i="2"/>
  <c r="V984" i="2"/>
  <c r="V1021" i="2"/>
  <c r="W1049" i="2"/>
  <c r="W1086" i="2"/>
  <c r="W1123" i="2"/>
  <c r="W1160" i="2"/>
  <c r="V1189" i="2"/>
  <c r="W1225" i="2"/>
  <c r="W1261" i="2"/>
  <c r="W1289" i="2"/>
  <c r="W1325" i="2"/>
  <c r="W1359" i="2"/>
  <c r="W1386" i="2"/>
  <c r="W1419" i="2"/>
  <c r="V1445" i="2"/>
  <c r="W1470" i="2"/>
  <c r="W1501" i="2"/>
  <c r="W1526" i="2"/>
  <c r="V1555" i="2"/>
  <c r="W1581" i="2"/>
  <c r="W1606" i="2"/>
  <c r="W1633" i="2"/>
  <c r="W1658" i="2"/>
  <c r="W1681" i="2"/>
  <c r="V1704" i="2"/>
  <c r="W1634" i="2"/>
  <c r="V1765" i="2"/>
  <c r="W1684" i="2"/>
  <c r="W1230" i="2"/>
  <c r="W1617" i="2"/>
  <c r="V1642" i="2"/>
  <c r="V1666" i="2"/>
  <c r="W1619" i="2"/>
  <c r="V1772" i="2"/>
  <c r="W1690" i="2"/>
  <c r="V1595" i="2"/>
  <c r="V1737" i="2"/>
  <c r="W1673" i="2"/>
  <c r="W1757" i="2"/>
  <c r="V1521" i="2"/>
  <c r="V1348" i="2"/>
  <c r="V1602" i="2"/>
  <c r="W1285" i="2"/>
  <c r="V110" i="2"/>
  <c r="W490" i="2"/>
  <c r="W707" i="2"/>
  <c r="V850" i="2"/>
  <c r="W910" i="2"/>
  <c r="W947" i="2"/>
  <c r="W984" i="2"/>
  <c r="W1021" i="2"/>
  <c r="V1050" i="2"/>
  <c r="V1087" i="2"/>
  <c r="V1124" i="2"/>
  <c r="V1161" i="2"/>
  <c r="W1189" i="2"/>
  <c r="V1226" i="2"/>
  <c r="V1262" i="2"/>
  <c r="V1290" i="2"/>
  <c r="V1326" i="2"/>
  <c r="V1360" i="2"/>
  <c r="V1387" i="2"/>
  <c r="V1420" i="2"/>
  <c r="V1502" i="2"/>
  <c r="V1659" i="2"/>
  <c r="V1640" i="2"/>
  <c r="V1729" i="2"/>
  <c r="W1450" i="2"/>
  <c r="V1616" i="2"/>
  <c r="V1588" i="2"/>
  <c r="W1618" i="2"/>
  <c r="V1509" i="2"/>
  <c r="V1620" i="2"/>
  <c r="V1668" i="2"/>
  <c r="W1645" i="2"/>
  <c r="W1694" i="2"/>
  <c r="V1599" i="2"/>
  <c r="W1044" i="2"/>
  <c r="W110" i="2"/>
  <c r="W507" i="2"/>
  <c r="W709" i="2"/>
  <c r="W850" i="2"/>
  <c r="W919" i="2"/>
  <c r="V948" i="2"/>
  <c r="V985" i="2"/>
  <c r="V1022" i="2"/>
  <c r="W1050" i="2"/>
  <c r="W1087" i="2"/>
  <c r="W1124" i="2"/>
  <c r="W1161" i="2"/>
  <c r="V1190" i="2"/>
  <c r="W1226" i="2"/>
  <c r="W1262" i="2"/>
  <c r="W1290" i="2"/>
  <c r="W1326" i="2"/>
  <c r="W1360" i="2"/>
  <c r="W1387" i="2"/>
  <c r="W1420" i="2"/>
  <c r="V1446" i="2"/>
  <c r="V1475" i="2"/>
  <c r="W1502" i="2"/>
  <c r="W1527" i="2"/>
  <c r="V1556" i="2"/>
  <c r="W1582" i="2"/>
  <c r="W1607" i="2"/>
  <c r="V1635" i="2"/>
  <c r="W1659" i="2"/>
  <c r="V1745" i="2"/>
  <c r="V1535" i="2"/>
  <c r="W1481" i="2"/>
  <c r="W1769" i="2"/>
  <c r="V1710" i="2"/>
  <c r="V1455" i="2"/>
  <c r="V1771" i="2"/>
  <c r="V1589" i="2"/>
  <c r="V1752" i="2"/>
  <c r="V1690" i="2"/>
  <c r="V1541" i="2"/>
  <c r="W1284" i="2"/>
  <c r="W1221" i="2"/>
  <c r="V1576" i="2"/>
  <c r="V130" i="2"/>
  <c r="V510" i="2"/>
  <c r="V710" i="2"/>
  <c r="V867" i="2"/>
  <c r="V920" i="2"/>
  <c r="W948" i="2"/>
  <c r="W985" i="2"/>
  <c r="W1022" i="2"/>
  <c r="W1059" i="2"/>
  <c r="V1088" i="2"/>
  <c r="V1125" i="2"/>
  <c r="V1162" i="2"/>
  <c r="W1190" i="2"/>
  <c r="V1227" i="2"/>
  <c r="V1263" i="2"/>
  <c r="V1299" i="2"/>
  <c r="V1327" i="2"/>
  <c r="V1361" i="2"/>
  <c r="V1388" i="2"/>
  <c r="V1421" i="2"/>
  <c r="W1446" i="2"/>
  <c r="W1475" i="2"/>
  <c r="V1503" i="2"/>
  <c r="V1528" i="2"/>
  <c r="W1557" i="2"/>
  <c r="V1583" i="2"/>
  <c r="V1608" i="2"/>
  <c r="W1635" i="2"/>
  <c r="V1660" i="2"/>
  <c r="W1705" i="2"/>
  <c r="W1686" i="2"/>
  <c r="V1303" i="2"/>
  <c r="V1644" i="2"/>
  <c r="V1567" i="2"/>
  <c r="W1248" i="2"/>
  <c r="W1382" i="2"/>
  <c r="W130" i="2"/>
  <c r="W510" i="2"/>
  <c r="W710" i="2"/>
  <c r="W867" i="2"/>
  <c r="W920" i="2"/>
  <c r="V949" i="2"/>
  <c r="V986" i="2"/>
  <c r="V1023" i="2"/>
  <c r="V1060" i="2"/>
  <c r="W1088" i="2"/>
  <c r="W1125" i="2"/>
  <c r="W1162" i="2"/>
  <c r="W1199" i="2"/>
  <c r="W1227" i="2"/>
  <c r="W1263" i="2"/>
  <c r="W1299" i="2"/>
  <c r="W1327" i="2"/>
  <c r="W1361" i="2"/>
  <c r="W1388" i="2"/>
  <c r="W1421" i="2"/>
  <c r="V1447" i="2"/>
  <c r="W1477" i="2"/>
  <c r="W1503" i="2"/>
  <c r="W1528" i="2"/>
  <c r="W1558" i="2"/>
  <c r="W1583" i="2"/>
  <c r="W1608" i="2"/>
  <c r="V1636" i="2"/>
  <c r="W1660" i="2"/>
  <c r="W1683" i="2"/>
  <c r="V1706" i="2"/>
  <c r="V1726" i="2"/>
  <c r="V1746" i="2"/>
  <c r="V1766" i="2"/>
  <c r="V1786" i="2"/>
  <c r="W1746" i="2"/>
  <c r="W1786" i="2"/>
  <c r="W1559" i="2"/>
  <c r="V1638" i="2"/>
  <c r="V1787" i="2"/>
  <c r="V1709" i="2"/>
  <c r="V1749" i="2"/>
  <c r="V1335" i="2"/>
  <c r="V1400" i="2"/>
  <c r="W1770" i="2"/>
  <c r="V1667" i="2"/>
  <c r="W1713" i="2"/>
  <c r="V1542" i="2"/>
  <c r="W1758" i="2"/>
  <c r="V1650" i="2"/>
  <c r="V1045" i="2"/>
  <c r="W1547" i="2"/>
  <c r="V150" i="2"/>
  <c r="W527" i="2"/>
  <c r="W727" i="2"/>
  <c r="W868" i="2"/>
  <c r="V921" i="2"/>
  <c r="W949" i="2"/>
  <c r="W986" i="2"/>
  <c r="W1023" i="2"/>
  <c r="W1060" i="2"/>
  <c r="V1089" i="2"/>
  <c r="V1126" i="2"/>
  <c r="V1163" i="2"/>
  <c r="V1200" i="2"/>
  <c r="V1228" i="2"/>
  <c r="V1264" i="2"/>
  <c r="V1300" i="2"/>
  <c r="V1328" i="2"/>
  <c r="V1362" i="2"/>
  <c r="V1389" i="2"/>
  <c r="V1422" i="2"/>
  <c r="W1447" i="2"/>
  <c r="W1478" i="2"/>
  <c r="V1504" i="2"/>
  <c r="V1529" i="2"/>
  <c r="V1559" i="2"/>
  <c r="V1584" i="2"/>
  <c r="V1609" i="2"/>
  <c r="W1637" i="2"/>
  <c r="V1661" i="2"/>
  <c r="V1684" i="2"/>
  <c r="W1706" i="2"/>
  <c r="W1726" i="2"/>
  <c r="W1766" i="2"/>
  <c r="W1584" i="2"/>
  <c r="W1661" i="2"/>
  <c r="V1747" i="2"/>
  <c r="W1302" i="2"/>
  <c r="V1664" i="2"/>
  <c r="W1453" i="2"/>
  <c r="V1688" i="2"/>
  <c r="W1665" i="2"/>
  <c r="V1619" i="2"/>
  <c r="V1540" i="2"/>
  <c r="V1566" i="2"/>
  <c r="W1220" i="2"/>
  <c r="W1409" i="2"/>
  <c r="W150" i="2"/>
  <c r="W529" i="2"/>
  <c r="W728" i="2"/>
  <c r="V869" i="2"/>
  <c r="W921" i="2"/>
  <c r="V950" i="2"/>
  <c r="V987" i="2"/>
  <c r="V1024" i="2"/>
  <c r="V1061" i="2"/>
  <c r="W1089" i="2"/>
  <c r="W1126" i="2"/>
  <c r="W1163" i="2"/>
  <c r="W1200" i="2"/>
  <c r="W1228" i="2"/>
  <c r="W1264" i="2"/>
  <c r="W1300" i="2"/>
  <c r="W1328" i="2"/>
  <c r="W1362" i="2"/>
  <c r="W1389" i="2"/>
  <c r="W1422" i="2"/>
  <c r="V1448" i="2"/>
  <c r="V1479" i="2"/>
  <c r="W1504" i="2"/>
  <c r="W1529" i="2"/>
  <c r="W1609" i="2"/>
  <c r="V1727" i="2"/>
  <c r="W1561" i="2"/>
  <c r="V1425" i="2"/>
  <c r="V1641" i="2"/>
  <c r="V1563" i="2"/>
  <c r="W1588" i="2"/>
  <c r="V1564" i="2"/>
  <c r="V1590" i="2"/>
  <c r="W1644" i="2"/>
  <c r="V1622" i="2"/>
  <c r="W1347" i="2"/>
  <c r="V906" i="2"/>
  <c r="V170" i="2"/>
  <c r="V530" i="2"/>
  <c r="W729" i="2"/>
  <c r="W869" i="2"/>
  <c r="V922" i="2"/>
  <c r="W950" i="2"/>
  <c r="W987" i="2"/>
  <c r="W1024" i="2"/>
  <c r="W1061" i="2"/>
  <c r="V1090" i="2"/>
  <c r="V1127" i="2"/>
  <c r="V1164" i="2"/>
  <c r="V1201" i="2"/>
  <c r="V1229" i="2"/>
  <c r="V1265" i="2"/>
  <c r="V1301" i="2"/>
  <c r="V1329" i="2"/>
  <c r="V1363" i="2"/>
  <c r="V1390" i="2"/>
  <c r="V1423" i="2"/>
  <c r="W1448" i="2"/>
  <c r="W1479" i="2"/>
  <c r="V1505" i="2"/>
  <c r="V1530" i="2"/>
  <c r="V1560" i="2"/>
  <c r="V1585" i="2"/>
  <c r="V1610" i="2"/>
  <c r="W1638" i="2"/>
  <c r="V1662" i="2"/>
  <c r="V1685" i="2"/>
  <c r="W1707" i="2"/>
  <c r="W1727" i="2"/>
  <c r="W1747" i="2"/>
  <c r="W1787" i="2"/>
  <c r="W1424" i="2"/>
  <c r="W1615" i="2"/>
  <c r="W1789" i="2"/>
  <c r="W1664" i="2"/>
  <c r="V1508" i="2"/>
  <c r="V1711" i="2"/>
  <c r="V1539" i="2"/>
  <c r="V1732" i="2"/>
  <c r="W1732" i="2"/>
  <c r="V1713" i="2"/>
  <c r="W1621" i="2"/>
  <c r="W1693" i="2"/>
  <c r="W1670" i="2"/>
  <c r="V1675" i="2"/>
  <c r="V1759" i="2"/>
  <c r="V650" i="2"/>
  <c r="W170" i="2"/>
  <c r="W530" i="2"/>
  <c r="V730" i="2"/>
  <c r="V870" i="2"/>
  <c r="W922" i="2"/>
  <c r="W959" i="2"/>
  <c r="V988" i="2"/>
  <c r="V1025" i="2"/>
  <c r="V1062" i="2"/>
  <c r="W1090" i="2"/>
  <c r="W1127" i="2"/>
  <c r="W1164" i="2"/>
  <c r="W1201" i="2"/>
  <c r="W1229" i="2"/>
  <c r="W1265" i="2"/>
  <c r="W1301" i="2"/>
  <c r="W1329" i="2"/>
  <c r="W1363" i="2"/>
  <c r="W1390" i="2"/>
  <c r="W1423" i="2"/>
  <c r="V1449" i="2"/>
  <c r="V1480" i="2"/>
  <c r="W1505" i="2"/>
  <c r="W1530" i="2"/>
  <c r="W1560" i="2"/>
  <c r="W1585" i="2"/>
  <c r="W1610" i="2"/>
  <c r="V1639" i="2"/>
  <c r="W1662" i="2"/>
  <c r="W1685" i="2"/>
  <c r="V1708" i="2"/>
  <c r="V1728" i="2"/>
  <c r="W1266" i="2"/>
  <c r="W1399" i="2"/>
  <c r="V1750" i="2"/>
  <c r="V10" i="2"/>
  <c r="W1563" i="2"/>
  <c r="W1539" i="2"/>
  <c r="W1565" i="2"/>
  <c r="V1714" i="2"/>
  <c r="W1622" i="2"/>
  <c r="V1717" i="2"/>
  <c r="V1626" i="2"/>
  <c r="W905" i="2"/>
  <c r="V190" i="2"/>
  <c r="W547" i="2"/>
  <c r="W730" i="2"/>
  <c r="W870" i="2"/>
  <c r="V923" i="2"/>
  <c r="V960" i="2"/>
  <c r="W988" i="2"/>
  <c r="W1025" i="2"/>
  <c r="W1062" i="2"/>
  <c r="W1099" i="2"/>
  <c r="V1128" i="2"/>
  <c r="V1165" i="2"/>
  <c r="V1202" i="2"/>
  <c r="V1230" i="2"/>
  <c r="V1266" i="2"/>
  <c r="V1302" i="2"/>
  <c r="V1330" i="2"/>
  <c r="V1364" i="2"/>
  <c r="V1395" i="2"/>
  <c r="V1424" i="2"/>
  <c r="W1449" i="2"/>
  <c r="W1480" i="2"/>
  <c r="V1506" i="2"/>
  <c r="W1533" i="2"/>
  <c r="V1561" i="2"/>
  <c r="V1586" i="2"/>
  <c r="W1613" i="2"/>
  <c r="W1639" i="2"/>
  <c r="V1663" i="2"/>
  <c r="V1686" i="2"/>
  <c r="W1708" i="2"/>
  <c r="W1728" i="2"/>
  <c r="V1615" i="2"/>
  <c r="V1769" i="2"/>
  <c r="W1535" i="2"/>
  <c r="W1709" i="2"/>
  <c r="W1562" i="2"/>
  <c r="W1537" i="2"/>
  <c r="V1751" i="2"/>
  <c r="W1731" i="2"/>
  <c r="W1564" i="2"/>
  <c r="V1753" i="2"/>
  <c r="W1773" i="2"/>
  <c r="W1595" i="2"/>
  <c r="W1776" i="2"/>
  <c r="V1757" i="2"/>
  <c r="W1648" i="2"/>
  <c r="W1737" i="2"/>
  <c r="V1546" i="2"/>
  <c r="W1184" i="2"/>
  <c r="W1321" i="2"/>
  <c r="W190" i="2"/>
  <c r="W549" i="2"/>
  <c r="W747" i="2"/>
  <c r="W881" i="2"/>
  <c r="W923" i="2"/>
  <c r="W960" i="2"/>
  <c r="V989" i="2"/>
  <c r="V1026" i="2"/>
  <c r="V1063" i="2"/>
  <c r="V1100" i="2"/>
  <c r="W1128" i="2"/>
  <c r="W1165" i="2"/>
  <c r="W1202" i="2"/>
  <c r="V1450" i="2"/>
  <c r="W1493" i="2"/>
  <c r="V1409" i="2"/>
  <c r="W1119" i="2"/>
  <c r="W1677" i="2"/>
  <c r="V210" i="2"/>
  <c r="V550" i="2"/>
  <c r="W748" i="2"/>
  <c r="W883" i="2"/>
  <c r="V924" i="2"/>
  <c r="V961" i="2"/>
  <c r="W989" i="2"/>
  <c r="W1026" i="2"/>
  <c r="W1063" i="2"/>
  <c r="W1100" i="2"/>
  <c r="V1129" i="2"/>
  <c r="V1166" i="2"/>
  <c r="V1203" i="2"/>
  <c r="V1239" i="2"/>
  <c r="V1267" i="2"/>
  <c r="V1399" i="2"/>
  <c r="W1546" i="2"/>
  <c r="V1285" i="2"/>
  <c r="W1575" i="2"/>
  <c r="V1185" i="2"/>
  <c r="W1522" i="2"/>
  <c r="W210" i="2"/>
  <c r="W550" i="2"/>
  <c r="W749" i="2"/>
  <c r="V887" i="2"/>
  <c r="W924" i="2"/>
  <c r="W961" i="2"/>
  <c r="V990" i="2"/>
  <c r="V1027" i="2"/>
  <c r="V1064" i="2"/>
  <c r="V1101" i="2"/>
  <c r="W1129" i="2"/>
  <c r="W1166" i="2"/>
  <c r="W1203" i="2"/>
  <c r="W1239" i="2"/>
  <c r="W1267" i="2"/>
  <c r="W1303" i="2"/>
  <c r="W1337" i="2"/>
  <c r="W1587" i="2"/>
  <c r="W1675" i="2"/>
  <c r="V1082" i="2"/>
  <c r="V230" i="2"/>
  <c r="W567" i="2"/>
  <c r="V750" i="2"/>
  <c r="W887" i="2"/>
  <c r="V925" i="2"/>
  <c r="V962" i="2"/>
  <c r="W990" i="2"/>
  <c r="W1027" i="2"/>
  <c r="W1064" i="2"/>
  <c r="W1101" i="2"/>
  <c r="V1130" i="2"/>
  <c r="V1167" i="2"/>
  <c r="V1204" i="2"/>
  <c r="V1240" i="2"/>
  <c r="V1268" i="2"/>
  <c r="V1304" i="2"/>
  <c r="V1339" i="2"/>
  <c r="V1366" i="2"/>
  <c r="W1482" i="2"/>
  <c r="W1381" i="2"/>
  <c r="W1719" i="2"/>
  <c r="W650" i="2"/>
  <c r="W230" i="2"/>
  <c r="W569" i="2"/>
  <c r="W750" i="2"/>
  <c r="W888" i="2"/>
  <c r="W925" i="2"/>
  <c r="W962" i="2"/>
  <c r="W999" i="2"/>
  <c r="V1028" i="2"/>
  <c r="V1065" i="2"/>
  <c r="V1102" i="2"/>
  <c r="W1130" i="2"/>
  <c r="W1167" i="2"/>
  <c r="W1204" i="2"/>
  <c r="W1240" i="2"/>
  <c r="W1268" i="2"/>
  <c r="W1304" i="2"/>
  <c r="W1339" i="2"/>
  <c r="W1366" i="2"/>
  <c r="W1400" i="2"/>
  <c r="W1508" i="2"/>
  <c r="V1440" i="2"/>
  <c r="V1522" i="2"/>
  <c r="W1082" i="2"/>
  <c r="W1602" i="2"/>
  <c r="V250" i="2"/>
  <c r="V570" i="2"/>
  <c r="W767" i="2"/>
  <c r="V889" i="2"/>
  <c r="V926" i="2"/>
  <c r="V963" i="2"/>
  <c r="V1000" i="2"/>
  <c r="W1028" i="2"/>
  <c r="W1065" i="2"/>
  <c r="W1102" i="2"/>
  <c r="W1139" i="2"/>
  <c r="V1168" i="2"/>
  <c r="V1205" i="2"/>
  <c r="V1241" i="2"/>
  <c r="V1269" i="2"/>
  <c r="V1305" i="2"/>
  <c r="V1340" i="2"/>
  <c r="V1367" i="2"/>
  <c r="V1401" i="2"/>
  <c r="V1427" i="2"/>
  <c r="W1457" i="2"/>
  <c r="W1711" i="2"/>
  <c r="W1626" i="2"/>
  <c r="V1221" i="2"/>
  <c r="W1348" i="2"/>
  <c r="V1760" i="2"/>
  <c r="W250" i="2"/>
  <c r="W570" i="2"/>
  <c r="W768" i="2"/>
  <c r="W889" i="2"/>
  <c r="W926" i="2"/>
  <c r="W963" i="2"/>
  <c r="W1000" i="2"/>
  <c r="V1029" i="2"/>
  <c r="V1066" i="2"/>
  <c r="V1103" i="2"/>
  <c r="V1140" i="2"/>
  <c r="W1168" i="2"/>
  <c r="W1205" i="2"/>
  <c r="W1241" i="2"/>
  <c r="W1269" i="2"/>
  <c r="W1305" i="2"/>
  <c r="W1340" i="2"/>
  <c r="W1367" i="2"/>
  <c r="W1401" i="2"/>
  <c r="W1427" i="2"/>
  <c r="W1458" i="2"/>
  <c r="V1484" i="2"/>
  <c r="W1689" i="2"/>
  <c r="W1521" i="2"/>
  <c r="V1382" i="2"/>
  <c r="V1627" i="2"/>
  <c r="W1249" i="2"/>
  <c r="W1627" i="2"/>
  <c r="V270" i="2"/>
  <c r="W587" i="2"/>
  <c r="W769" i="2"/>
  <c r="V890" i="2"/>
  <c r="V927" i="2"/>
  <c r="V964" i="2"/>
  <c r="V1001" i="2"/>
  <c r="W1029" i="2"/>
  <c r="W1066" i="2"/>
  <c r="W1103" i="2"/>
  <c r="W1140" i="2"/>
  <c r="V1169" i="2"/>
  <c r="V1206" i="2"/>
  <c r="V1242" i="2"/>
  <c r="V1270" i="2"/>
  <c r="V1306" i="2"/>
  <c r="V1341" i="2"/>
  <c r="V1368" i="2"/>
  <c r="V1402" i="2"/>
  <c r="V1428" i="2"/>
  <c r="V1459" i="2"/>
  <c r="W1484" i="2"/>
  <c r="V1510" i="2"/>
  <c r="W1712" i="2"/>
  <c r="W1320" i="2"/>
  <c r="V943" i="2"/>
  <c r="V1780" i="2"/>
  <c r="W270" i="2"/>
  <c r="W589" i="2"/>
  <c r="V770" i="2"/>
  <c r="W890" i="2"/>
  <c r="W927" i="2"/>
  <c r="W964" i="2"/>
  <c r="W1001" i="2"/>
  <c r="V1030" i="2"/>
  <c r="V1067" i="2"/>
  <c r="V1104" i="2"/>
  <c r="V1141" i="2"/>
  <c r="W1169" i="2"/>
  <c r="W1206" i="2"/>
  <c r="W1242" i="2"/>
  <c r="W1270" i="2"/>
  <c r="W1306" i="2"/>
  <c r="W1341" i="2"/>
  <c r="W1368" i="2"/>
  <c r="W1402" i="2"/>
  <c r="W1428" i="2"/>
  <c r="W1459" i="2"/>
  <c r="V1485" i="2"/>
  <c r="W1510" i="2"/>
  <c r="W1540" i="2"/>
  <c r="V1147" i="2"/>
  <c r="W1495" i="2"/>
  <c r="V290" i="2"/>
  <c r="V590" i="2"/>
  <c r="W770" i="2"/>
  <c r="W899" i="2"/>
  <c r="V928" i="2"/>
  <c r="V965" i="2"/>
  <c r="V1002" i="2"/>
  <c r="W1030" i="2"/>
  <c r="W1067" i="2"/>
  <c r="W1104" i="2"/>
  <c r="W1141" i="2"/>
  <c r="V1170" i="2"/>
  <c r="V1207" i="2"/>
  <c r="V1243" i="2"/>
  <c r="V1279" i="2"/>
  <c r="V1307" i="2"/>
  <c r="V1342" i="2"/>
  <c r="V1369" i="2"/>
  <c r="V1403" i="2"/>
  <c r="V1429" i="2"/>
  <c r="V1460" i="2"/>
  <c r="W1485" i="2"/>
  <c r="W1513" i="2"/>
  <c r="W1691" i="2"/>
  <c r="W1465" i="2"/>
  <c r="V1495" i="2"/>
  <c r="W1699" i="2"/>
  <c r="V1148" i="2"/>
  <c r="V1700" i="2"/>
  <c r="W290" i="2"/>
  <c r="W590" i="2"/>
  <c r="W787" i="2"/>
  <c r="V900" i="2"/>
  <c r="W928" i="2"/>
  <c r="W965" i="2"/>
  <c r="W1002" i="2"/>
  <c r="W1039" i="2"/>
  <c r="V1068" i="2"/>
  <c r="V1105" i="2"/>
  <c r="V1142" i="2"/>
  <c r="W1170" i="2"/>
  <c r="W1207" i="2"/>
  <c r="W1243" i="2"/>
  <c r="W1279" i="2"/>
  <c r="W1307" i="2"/>
  <c r="W1342" i="2"/>
  <c r="W1369" i="2"/>
  <c r="W1403" i="2"/>
  <c r="W1429" i="2"/>
  <c r="W1460" i="2"/>
  <c r="V1486" i="2"/>
  <c r="V1515" i="2"/>
  <c r="W1541" i="2"/>
  <c r="W1566" i="2"/>
  <c r="V1734" i="2"/>
  <c r="W1081" i="2"/>
  <c r="V310" i="2"/>
  <c r="W607" i="2"/>
  <c r="W788" i="2"/>
  <c r="W900" i="2"/>
  <c r="V929" i="2"/>
  <c r="V966" i="2"/>
  <c r="V1003" i="2"/>
  <c r="V1040" i="2"/>
  <c r="W1068" i="2"/>
  <c r="W1105" i="2"/>
  <c r="W1142" i="2"/>
  <c r="W1179" i="2"/>
  <c r="V1208" i="2"/>
  <c r="V1244" i="2"/>
  <c r="V1280" i="2"/>
  <c r="V1308" i="2"/>
  <c r="V1343" i="2"/>
  <c r="V1370" i="2"/>
  <c r="V1404" i="2"/>
  <c r="V1430" i="2"/>
  <c r="V1461" i="2"/>
  <c r="W1486" i="2"/>
  <c r="W1515" i="2"/>
  <c r="V1693" i="2"/>
  <c r="V1110" i="2"/>
  <c r="V1652" i="2"/>
  <c r="W310" i="2"/>
  <c r="W609" i="2"/>
  <c r="W789" i="2"/>
  <c r="V901" i="2"/>
  <c r="W929" i="2"/>
  <c r="W966" i="2"/>
  <c r="W1003" i="2"/>
  <c r="W1040" i="2"/>
  <c r="V1069" i="2"/>
  <c r="V1106" i="2"/>
  <c r="V1143" i="2"/>
  <c r="V1180" i="2"/>
  <c r="W1208" i="2"/>
  <c r="W1244" i="2"/>
  <c r="W1280" i="2"/>
  <c r="W1308" i="2"/>
  <c r="W1343" i="2"/>
  <c r="W1370" i="2"/>
  <c r="W1404" i="2"/>
  <c r="W1430" i="2"/>
  <c r="W1461" i="2"/>
  <c r="V1487" i="2"/>
  <c r="V1516" i="2"/>
  <c r="W1542" i="2"/>
  <c r="W1567" i="2"/>
  <c r="V1596" i="2"/>
  <c r="W1669" i="2"/>
  <c r="W970" i="2"/>
  <c r="V330" i="2"/>
  <c r="V610" i="2"/>
  <c r="V790" i="2"/>
  <c r="W901" i="2"/>
  <c r="V930" i="2"/>
  <c r="V967" i="2"/>
  <c r="V1004" i="2"/>
  <c r="V1041" i="2"/>
  <c r="W1069" i="2"/>
  <c r="W1106" i="2"/>
  <c r="W1143" i="2"/>
  <c r="W1180" i="2"/>
  <c r="V1209" i="2"/>
  <c r="V1245" i="2"/>
  <c r="V1281" i="2"/>
  <c r="V1309" i="2"/>
  <c r="V1344" i="2"/>
  <c r="V1375" i="2"/>
  <c r="V1405" i="2"/>
  <c r="W1433" i="2"/>
  <c r="V1462" i="2"/>
  <c r="W1487" i="2"/>
  <c r="W1517" i="2"/>
  <c r="V1543" i="2"/>
  <c r="V1568" i="2"/>
  <c r="W1597" i="2"/>
  <c r="V1623" i="2"/>
  <c r="W1735" i="2"/>
  <c r="W1778" i="2"/>
  <c r="V1699" i="2"/>
  <c r="V1008" i="2"/>
  <c r="W330" i="2"/>
  <c r="W610" i="2"/>
  <c r="W790" i="2"/>
  <c r="V902" i="2"/>
  <c r="W930" i="2"/>
  <c r="W967" i="2"/>
  <c r="W1004" i="2"/>
  <c r="W1041" i="2"/>
  <c r="V1070" i="2"/>
  <c r="V1107" i="2"/>
  <c r="V1144" i="2"/>
  <c r="V1181" i="2"/>
  <c r="W1209" i="2"/>
  <c r="W1245" i="2"/>
  <c r="W1281" i="2"/>
  <c r="W1309" i="2"/>
  <c r="W1344" i="2"/>
  <c r="W1377" i="2"/>
  <c r="W1405" i="2"/>
  <c r="V1435" i="2"/>
  <c r="W1462" i="2"/>
  <c r="V1488" i="2"/>
  <c r="W1518" i="2"/>
  <c r="W1543" i="2"/>
  <c r="W1568" i="2"/>
  <c r="W1598" i="2"/>
  <c r="W1623" i="2"/>
  <c r="V1647" i="2"/>
  <c r="W1718" i="2"/>
  <c r="V1739" i="2"/>
  <c r="W979" i="2"/>
  <c r="V350" i="2"/>
  <c r="W627" i="2"/>
  <c r="W807" i="2"/>
  <c r="W902" i="2"/>
  <c r="W939" i="2"/>
  <c r="V968" i="2"/>
  <c r="V1005" i="2"/>
  <c r="V1042" i="2"/>
  <c r="W1070" i="2"/>
  <c r="W1107" i="2"/>
  <c r="W1144" i="2"/>
  <c r="W1181" i="2"/>
  <c r="V1210" i="2"/>
  <c r="V1246" i="2"/>
  <c r="V1282" i="2"/>
  <c r="V1310" i="2"/>
  <c r="V1345" i="2"/>
  <c r="V1379" i="2"/>
  <c r="V1406" i="2"/>
  <c r="W1435" i="2"/>
  <c r="V1463" i="2"/>
  <c r="W1488" i="2"/>
  <c r="V1519" i="2"/>
  <c r="V1544" i="2"/>
  <c r="V1569" i="2"/>
  <c r="V1672" i="2"/>
  <c r="W1698" i="2"/>
  <c r="V1779" i="2"/>
  <c r="W942" i="2"/>
  <c r="W350" i="2"/>
  <c r="W629" i="2"/>
  <c r="W808" i="2"/>
  <c r="V903" i="2"/>
  <c r="V940" i="2"/>
  <c r="W968" i="2"/>
  <c r="W1005" i="2"/>
  <c r="W1042" i="2"/>
  <c r="W1079" i="2"/>
  <c r="V1108" i="2"/>
  <c r="V1145" i="2"/>
  <c r="V1182" i="2"/>
  <c r="W1210" i="2"/>
  <c r="W1246" i="2"/>
  <c r="W1282" i="2"/>
  <c r="W1310" i="2"/>
  <c r="W1345" i="2"/>
  <c r="W1379" i="2"/>
  <c r="W1406" i="2"/>
  <c r="W1437" i="2"/>
  <c r="W1463" i="2"/>
  <c r="V1489" i="2"/>
  <c r="W1519" i="2"/>
  <c r="W1544" i="2"/>
  <c r="W1569" i="2"/>
  <c r="W1599" i="2"/>
  <c r="W1624" i="2"/>
  <c r="V1777" i="2"/>
  <c r="W1408" i="2"/>
  <c r="V1676" i="2"/>
  <c r="W828" i="2"/>
  <c r="V370" i="2"/>
  <c r="V630" i="2"/>
  <c r="V809" i="2"/>
  <c r="W903" i="2"/>
  <c r="W940" i="2"/>
  <c r="V969" i="2"/>
  <c r="V1006" i="2"/>
  <c r="V1043" i="2"/>
  <c r="V1080" i="2"/>
  <c r="W1108" i="2"/>
  <c r="W1145" i="2"/>
  <c r="W1182" i="2"/>
  <c r="V1219" i="2"/>
  <c r="V1247" i="2"/>
  <c r="V1283" i="2"/>
  <c r="V1319" i="2"/>
  <c r="V1346" i="2"/>
  <c r="V1380" i="2"/>
  <c r="V1407" i="2"/>
  <c r="W1438" i="2"/>
  <c r="V1464" i="2"/>
  <c r="W1489" i="2"/>
  <c r="V1520" i="2"/>
  <c r="V1545" i="2"/>
  <c r="V1570" i="2"/>
  <c r="V1600" i="2"/>
  <c r="V1625" i="2"/>
  <c r="W1697" i="2"/>
  <c r="W1777" i="2"/>
  <c r="V1575" i="2"/>
  <c r="V1321" i="2"/>
  <c r="V1547" i="2"/>
  <c r="V980" i="2"/>
  <c r="W370" i="2"/>
  <c r="W630" i="2"/>
  <c r="W809" i="2"/>
  <c r="V904" i="2"/>
  <c r="V941" i="2"/>
  <c r="W969" i="2"/>
  <c r="W1006" i="2"/>
  <c r="W1043" i="2"/>
  <c r="W1080" i="2"/>
  <c r="V1109" i="2"/>
  <c r="V1146" i="2"/>
  <c r="V1183" i="2"/>
  <c r="W1219" i="2"/>
  <c r="W1247" i="2"/>
  <c r="W1283" i="2"/>
  <c r="W1319" i="2"/>
  <c r="W1346" i="2"/>
  <c r="W1380" i="2"/>
  <c r="W1407" i="2"/>
  <c r="V1439" i="2"/>
  <c r="W1464" i="2"/>
  <c r="V1490" i="2"/>
  <c r="W1520" i="2"/>
  <c r="W1545" i="2"/>
  <c r="W1570" i="2"/>
  <c r="W1600" i="2"/>
  <c r="W1625" i="2"/>
  <c r="V1649" i="2"/>
  <c r="W1674" i="2"/>
  <c r="V1698" i="2"/>
  <c r="V1718" i="2"/>
  <c r="V1738" i="2"/>
  <c r="V1758" i="2"/>
  <c r="W1601" i="2"/>
  <c r="V1249" i="2"/>
  <c r="W1779" i="2"/>
  <c r="V1441" i="2"/>
  <c r="V390" i="2"/>
  <c r="W647" i="2"/>
  <c r="V810" i="2"/>
  <c r="W904" i="2"/>
  <c r="W941" i="2"/>
  <c r="V970" i="2"/>
  <c r="V1007" i="2"/>
  <c r="V1044" i="2"/>
  <c r="V1081" i="2"/>
  <c r="W1109" i="2"/>
  <c r="W1146" i="2"/>
  <c r="W1183" i="2"/>
  <c r="V1220" i="2"/>
  <c r="V1248" i="2"/>
  <c r="V1284" i="2"/>
  <c r="V1320" i="2"/>
  <c r="V1347" i="2"/>
  <c r="V1381" i="2"/>
  <c r="V1408" i="2"/>
  <c r="W1439" i="2"/>
  <c r="W1759" i="2"/>
  <c r="W410" i="2"/>
  <c r="W390" i="2"/>
  <c r="W649" i="2"/>
  <c r="W810" i="2"/>
  <c r="V905" i="2"/>
  <c r="V942" i="2"/>
  <c r="W1007" i="2"/>
  <c r="U907" i="2"/>
  <c r="T907" i="2" s="1"/>
  <c r="U899" i="2"/>
  <c r="T899" i="2" s="1"/>
  <c r="U886" i="2"/>
  <c r="T886" i="2" s="1"/>
  <c r="U1352" i="2"/>
  <c r="T1352" i="2" s="1"/>
  <c r="U1344" i="2"/>
  <c r="T1344" i="2" s="1"/>
  <c r="U1336" i="2"/>
  <c r="T1336" i="2" s="1"/>
  <c r="U896" i="2"/>
  <c r="T896" i="2" s="1"/>
  <c r="U910" i="2"/>
  <c r="T910" i="2" s="1"/>
  <c r="U902" i="2"/>
  <c r="T902" i="2" s="1"/>
  <c r="U894" i="2"/>
  <c r="T894" i="2" s="1"/>
  <c r="U1347" i="2"/>
  <c r="T1347" i="2" s="1"/>
  <c r="U1339" i="2"/>
  <c r="T1339" i="2" s="1"/>
  <c r="U1331" i="2"/>
  <c r="T1331" i="2" s="1"/>
  <c r="U905" i="2"/>
  <c r="T905" i="2" s="1"/>
  <c r="U897" i="2"/>
  <c r="T897" i="2" s="1"/>
  <c r="U884" i="2"/>
  <c r="T884" i="2" s="1"/>
  <c r="U1350" i="2"/>
  <c r="T1350" i="2" s="1"/>
  <c r="U1342" i="2"/>
  <c r="T1342" i="2" s="1"/>
  <c r="U1334" i="2"/>
  <c r="T1334" i="2" s="1"/>
  <c r="U904" i="2"/>
  <c r="T904" i="2" s="1"/>
  <c r="U908" i="2"/>
  <c r="T908" i="2" s="1"/>
  <c r="U900" i="2"/>
  <c r="T900" i="2" s="1"/>
  <c r="U892" i="2"/>
  <c r="T892" i="2" s="1"/>
  <c r="U887" i="2"/>
  <c r="T887" i="2" s="1"/>
  <c r="U1345" i="2"/>
  <c r="T1345" i="2" s="1"/>
  <c r="U1337" i="2"/>
  <c r="T1337" i="2" s="1"/>
  <c r="U1329" i="2"/>
  <c r="T1329" i="2" s="1"/>
  <c r="U903" i="2"/>
  <c r="T903" i="2" s="1"/>
  <c r="U1348" i="2"/>
  <c r="T1348" i="2" s="1"/>
  <c r="U1340" i="2"/>
  <c r="T1340" i="2" s="1"/>
  <c r="U1332" i="2"/>
  <c r="T1332" i="2" s="1"/>
  <c r="U1341" i="2"/>
  <c r="T1341" i="2" s="1"/>
  <c r="U898" i="2"/>
  <c r="T898" i="2" s="1"/>
  <c r="U885" i="2"/>
  <c r="T885" i="2" s="1"/>
  <c r="U1354" i="2"/>
  <c r="T1354" i="2" s="1"/>
  <c r="U1351" i="2"/>
  <c r="T1351" i="2" s="1"/>
  <c r="U1343" i="2"/>
  <c r="T1343" i="2" s="1"/>
  <c r="U1335" i="2"/>
  <c r="T1335" i="2" s="1"/>
  <c r="U1333" i="2"/>
  <c r="T1333" i="2" s="1"/>
  <c r="U909" i="2"/>
  <c r="T909" i="2" s="1"/>
  <c r="U893" i="2"/>
  <c r="T893" i="2" s="1"/>
  <c r="U1346" i="2"/>
  <c r="T1346" i="2" s="1"/>
  <c r="U1338" i="2"/>
  <c r="T1338" i="2" s="1"/>
  <c r="U1330" i="2"/>
  <c r="T1330" i="2" s="1"/>
  <c r="U1349" i="2"/>
  <c r="T1349" i="2" s="1"/>
  <c r="U880" i="2"/>
  <c r="T880" i="2" s="1"/>
  <c r="U1321" i="2"/>
  <c r="T1321" i="2" s="1"/>
  <c r="U1309" i="2"/>
  <c r="T1309" i="2" s="1"/>
  <c r="U1302" i="2"/>
  <c r="T1302" i="2" s="1"/>
  <c r="U1298" i="2"/>
  <c r="T1298" i="2" s="1"/>
  <c r="U876" i="2"/>
  <c r="T876" i="2" s="1"/>
  <c r="U1325" i="2"/>
  <c r="T1325" i="2" s="1"/>
  <c r="U883" i="2"/>
  <c r="T883" i="2" s="1"/>
  <c r="U1328" i="2"/>
  <c r="T1328" i="2" s="1"/>
  <c r="U1324" i="2"/>
  <c r="T1324" i="2" s="1"/>
  <c r="U1320" i="2"/>
  <c r="T1320" i="2" s="1"/>
  <c r="U1316" i="2"/>
  <c r="T1316" i="2" s="1"/>
  <c r="U1312" i="2"/>
  <c r="T1312" i="2" s="1"/>
  <c r="U1308" i="2"/>
  <c r="T1308" i="2" s="1"/>
  <c r="U1301" i="2"/>
  <c r="T1301" i="2" s="1"/>
  <c r="U875" i="2"/>
  <c r="T875" i="2" s="1"/>
  <c r="U878" i="2"/>
  <c r="T878" i="2" s="1"/>
  <c r="U1327" i="2"/>
  <c r="T1327" i="2" s="1"/>
  <c r="U1323" i="2"/>
  <c r="T1323" i="2" s="1"/>
  <c r="U1319" i="2"/>
  <c r="T1319" i="2" s="1"/>
  <c r="U1315" i="2"/>
  <c r="T1315" i="2" s="1"/>
  <c r="U1311" i="2"/>
  <c r="T1311" i="2" s="1"/>
  <c r="U1307" i="2"/>
  <c r="T1307" i="2" s="1"/>
  <c r="U1304" i="2"/>
  <c r="T1304" i="2" s="1"/>
  <c r="U1300" i="2"/>
  <c r="T1300" i="2" s="1"/>
  <c r="U874" i="2"/>
  <c r="T874" i="2" s="1"/>
  <c r="U881" i="2"/>
  <c r="T881" i="2" s="1"/>
  <c r="U1326" i="2"/>
  <c r="T1326" i="2" s="1"/>
  <c r="U1322" i="2"/>
  <c r="T1322" i="2" s="1"/>
  <c r="U1318" i="2"/>
  <c r="T1318" i="2" s="1"/>
  <c r="U1314" i="2"/>
  <c r="T1314" i="2" s="1"/>
  <c r="U1310" i="2"/>
  <c r="T1310" i="2" s="1"/>
  <c r="U1303" i="2"/>
  <c r="T1303" i="2" s="1"/>
  <c r="U1299" i="2"/>
  <c r="T1299" i="2" s="1"/>
  <c r="U873" i="2"/>
  <c r="T873" i="2" s="1"/>
  <c r="U1317" i="2"/>
  <c r="T1317" i="2" s="1"/>
  <c r="U1313" i="2"/>
  <c r="T1313" i="2" s="1"/>
  <c r="U888" i="2"/>
  <c r="T888" i="2" s="1"/>
  <c r="U1777" i="2"/>
  <c r="T1777" i="2" s="1"/>
  <c r="U1768" i="2"/>
  <c r="T1768" i="2" s="1"/>
  <c r="U1766" i="2"/>
  <c r="T1766" i="2" s="1"/>
  <c r="U1711" i="2"/>
  <c r="T1711" i="2" s="1"/>
  <c r="U1709" i="2"/>
  <c r="T1709" i="2" s="1"/>
  <c r="U1696" i="2"/>
  <c r="T1696" i="2" s="1"/>
  <c r="U1656" i="2"/>
  <c r="T1656" i="2" s="1"/>
  <c r="U1641" i="2"/>
  <c r="T1641" i="2" s="1"/>
  <c r="U1639" i="2"/>
  <c r="T1639" i="2" s="1"/>
  <c r="U1637" i="2"/>
  <c r="T1637" i="2" s="1"/>
  <c r="U1635" i="2"/>
  <c r="T1635" i="2" s="1"/>
  <c r="U1633" i="2"/>
  <c r="T1633" i="2" s="1"/>
  <c r="U1631" i="2"/>
  <c r="T1631" i="2" s="1"/>
  <c r="U1580" i="2"/>
  <c r="T1580" i="2" s="1"/>
  <c r="U1578" i="2"/>
  <c r="T1578" i="2" s="1"/>
  <c r="U1788" i="2"/>
  <c r="T1788" i="2" s="1"/>
  <c r="U1764" i="2"/>
  <c r="T1764" i="2" s="1"/>
  <c r="U1734" i="2"/>
  <c r="T1734" i="2" s="1"/>
  <c r="U1732" i="2"/>
  <c r="T1732" i="2" s="1"/>
  <c r="U1730" i="2"/>
  <c r="T1730" i="2" s="1"/>
  <c r="U1692" i="2"/>
  <c r="T1692" i="2" s="1"/>
  <c r="U1690" i="2"/>
  <c r="T1690" i="2" s="1"/>
  <c r="U1688" i="2"/>
  <c r="T1688" i="2" s="1"/>
  <c r="U1654" i="2"/>
  <c r="T1654" i="2" s="1"/>
  <c r="U1604" i="2"/>
  <c r="T1604" i="2" s="1"/>
  <c r="U1602" i="2"/>
  <c r="T1602" i="2" s="1"/>
  <c r="U1600" i="2"/>
  <c r="T1600" i="2" s="1"/>
  <c r="U1786" i="2"/>
  <c r="T1786" i="2" s="1"/>
  <c r="U1784" i="2"/>
  <c r="T1784" i="2" s="1"/>
  <c r="U1773" i="2"/>
  <c r="T1773" i="2" s="1"/>
  <c r="U1760" i="2"/>
  <c r="T1760" i="2" s="1"/>
  <c r="U1758" i="2"/>
  <c r="T1758" i="2" s="1"/>
  <c r="U1756" i="2"/>
  <c r="T1756" i="2" s="1"/>
  <c r="U1754" i="2"/>
  <c r="T1754" i="2" s="1"/>
  <c r="U1752" i="2"/>
  <c r="T1752" i="2" s="1"/>
  <c r="U1750" i="2"/>
  <c r="T1750" i="2" s="1"/>
  <c r="U1748" i="2"/>
  <c r="T1748" i="2" s="1"/>
  <c r="U1746" i="2"/>
  <c r="T1746" i="2" s="1"/>
  <c r="U1728" i="2"/>
  <c r="T1728" i="2" s="1"/>
  <c r="U1726" i="2"/>
  <c r="T1726" i="2" s="1"/>
  <c r="U1724" i="2"/>
  <c r="T1724" i="2" s="1"/>
  <c r="U1722" i="2"/>
  <c r="T1722" i="2" s="1"/>
  <c r="U1720" i="2"/>
  <c r="T1720" i="2" s="1"/>
  <c r="U1718" i="2"/>
  <c r="T1718" i="2" s="1"/>
  <c r="U1705" i="2"/>
  <c r="T1705" i="2" s="1"/>
  <c r="U1703" i="2"/>
  <c r="T1703" i="2" s="1"/>
  <c r="U1701" i="2"/>
  <c r="T1701" i="2" s="1"/>
  <c r="U1699" i="2"/>
  <c r="T1699" i="2" s="1"/>
  <c r="U1686" i="2"/>
  <c r="T1686" i="2" s="1"/>
  <c r="U1650" i="2"/>
  <c r="T1650" i="2" s="1"/>
  <c r="U1648" i="2"/>
  <c r="T1648" i="2" s="1"/>
  <c r="U1646" i="2"/>
  <c r="T1646" i="2" s="1"/>
  <c r="U1627" i="2"/>
  <c r="T1627" i="2" s="1"/>
  <c r="U1609" i="2"/>
  <c r="T1609" i="2" s="1"/>
  <c r="U1598" i="2"/>
  <c r="T1598" i="2" s="1"/>
  <c r="U1589" i="2"/>
  <c r="T1589" i="2" s="1"/>
  <c r="U1587" i="2"/>
  <c r="T1587" i="2" s="1"/>
  <c r="U1572" i="2"/>
  <c r="T1572" i="2" s="1"/>
  <c r="U1782" i="2"/>
  <c r="T1782" i="2" s="1"/>
  <c r="U1780" i="2"/>
  <c r="T1780" i="2" s="1"/>
  <c r="U1742" i="2"/>
  <c r="T1742" i="2" s="1"/>
  <c r="U1714" i="2"/>
  <c r="T1714" i="2" s="1"/>
  <c r="U1697" i="2"/>
  <c r="T1697" i="2" s="1"/>
  <c r="U1684" i="2"/>
  <c r="T1684" i="2" s="1"/>
  <c r="U1682" i="2"/>
  <c r="T1682" i="2" s="1"/>
  <c r="U1680" i="2"/>
  <c r="T1680" i="2" s="1"/>
  <c r="U1678" i="2"/>
  <c r="T1678" i="2" s="1"/>
  <c r="U1671" i="2"/>
  <c r="T1671" i="2" s="1"/>
  <c r="U1669" i="2"/>
  <c r="T1669" i="2" s="1"/>
  <c r="U1667" i="2"/>
  <c r="T1667" i="2" s="1"/>
  <c r="U1665" i="2"/>
  <c r="T1665" i="2" s="1"/>
  <c r="U1663" i="2"/>
  <c r="T1663" i="2" s="1"/>
  <c r="U1661" i="2"/>
  <c r="T1661" i="2" s="1"/>
  <c r="U1659" i="2"/>
  <c r="T1659" i="2" s="1"/>
  <c r="U1625" i="2"/>
  <c r="T1625" i="2" s="1"/>
  <c r="U1623" i="2"/>
  <c r="T1623" i="2" s="1"/>
  <c r="U1621" i="2"/>
  <c r="T1621" i="2" s="1"/>
  <c r="U1619" i="2"/>
  <c r="T1619" i="2" s="1"/>
  <c r="U1596" i="2"/>
  <c r="T1596" i="2" s="1"/>
  <c r="U1583" i="2"/>
  <c r="T1583" i="2" s="1"/>
  <c r="U1568" i="2"/>
  <c r="T1568" i="2" s="1"/>
  <c r="U1566" i="2"/>
  <c r="T1566" i="2" s="1"/>
  <c r="U1778" i="2"/>
  <c r="T1778" i="2" s="1"/>
  <c r="U1769" i="2"/>
  <c r="T1769" i="2" s="1"/>
  <c r="U1767" i="2"/>
  <c r="T1767" i="2" s="1"/>
  <c r="U1712" i="2"/>
  <c r="T1712" i="2" s="1"/>
  <c r="U1710" i="2"/>
  <c r="T1710" i="2" s="1"/>
  <c r="U1695" i="2"/>
  <c r="T1695" i="2" s="1"/>
  <c r="U1676" i="2"/>
  <c r="T1676" i="2" s="1"/>
  <c r="U1657" i="2"/>
  <c r="T1657" i="2" s="1"/>
  <c r="U1640" i="2"/>
  <c r="T1640" i="2" s="1"/>
  <c r="U1638" i="2"/>
  <c r="T1638" i="2" s="1"/>
  <c r="U1636" i="2"/>
  <c r="T1636" i="2" s="1"/>
  <c r="U1634" i="2"/>
  <c r="T1634" i="2" s="1"/>
  <c r="U1632" i="2"/>
  <c r="T1632" i="2" s="1"/>
  <c r="U1594" i="2"/>
  <c r="T1594" i="2" s="1"/>
  <c r="U1789" i="2"/>
  <c r="T1789" i="2" s="1"/>
  <c r="U1763" i="2"/>
  <c r="T1763" i="2" s="1"/>
  <c r="U1735" i="2"/>
  <c r="T1735" i="2" s="1"/>
  <c r="U1733" i="2"/>
  <c r="T1733" i="2" s="1"/>
  <c r="U1731" i="2"/>
  <c r="T1731" i="2" s="1"/>
  <c r="U1693" i="2"/>
  <c r="T1693" i="2" s="1"/>
  <c r="U1691" i="2"/>
  <c r="T1691" i="2" s="1"/>
  <c r="U1689" i="2"/>
  <c r="T1689" i="2" s="1"/>
  <c r="U1653" i="2"/>
  <c r="T1653" i="2" s="1"/>
  <c r="U1603" i="2"/>
  <c r="T1603" i="2" s="1"/>
  <c r="U1601" i="2"/>
  <c r="T1601" i="2" s="1"/>
  <c r="U1592" i="2"/>
  <c r="T1592" i="2" s="1"/>
  <c r="U1575" i="2"/>
  <c r="T1575" i="2" s="1"/>
  <c r="U1785" i="2"/>
  <c r="T1785" i="2" s="1"/>
  <c r="U1774" i="2"/>
  <c r="T1774" i="2" s="1"/>
  <c r="U1772" i="2"/>
  <c r="T1772" i="2" s="1"/>
  <c r="U1761" i="2"/>
  <c r="T1761" i="2" s="1"/>
  <c r="U1759" i="2"/>
  <c r="T1759" i="2" s="1"/>
  <c r="U1757" i="2"/>
  <c r="T1757" i="2" s="1"/>
  <c r="U1755" i="2"/>
  <c r="T1755" i="2" s="1"/>
  <c r="U1753" i="2"/>
  <c r="T1753" i="2" s="1"/>
  <c r="U1751" i="2"/>
  <c r="T1751" i="2" s="1"/>
  <c r="U1749" i="2"/>
  <c r="T1749" i="2" s="1"/>
  <c r="U1747" i="2"/>
  <c r="T1747" i="2" s="1"/>
  <c r="U1745" i="2"/>
  <c r="T1745" i="2" s="1"/>
  <c r="U1727" i="2"/>
  <c r="T1727" i="2" s="1"/>
  <c r="U1725" i="2"/>
  <c r="T1725" i="2" s="1"/>
  <c r="U1723" i="2"/>
  <c r="T1723" i="2" s="1"/>
  <c r="U1721" i="2"/>
  <c r="T1721" i="2" s="1"/>
  <c r="U1719" i="2"/>
  <c r="T1719" i="2" s="1"/>
  <c r="U1717" i="2"/>
  <c r="T1717" i="2" s="1"/>
  <c r="U1706" i="2"/>
  <c r="T1706" i="2" s="1"/>
  <c r="U1704" i="2"/>
  <c r="T1704" i="2" s="1"/>
  <c r="U1702" i="2"/>
  <c r="T1702" i="2" s="1"/>
  <c r="U1700" i="2"/>
  <c r="T1700" i="2" s="1"/>
  <c r="U1651" i="2"/>
  <c r="T1651" i="2" s="1"/>
  <c r="U1649" i="2"/>
  <c r="T1649" i="2" s="1"/>
  <c r="U1647" i="2"/>
  <c r="T1647" i="2" s="1"/>
  <c r="U1645" i="2"/>
  <c r="T1645" i="2" s="1"/>
  <c r="U1628" i="2"/>
  <c r="T1628" i="2" s="1"/>
  <c r="U1615" i="2"/>
  <c r="T1615" i="2" s="1"/>
  <c r="U1610" i="2"/>
  <c r="T1610" i="2" s="1"/>
  <c r="U1608" i="2"/>
  <c r="T1608" i="2" s="1"/>
  <c r="U1590" i="2"/>
  <c r="T1590" i="2" s="1"/>
  <c r="U1588" i="2"/>
  <c r="T1588" i="2" s="1"/>
  <c r="U1586" i="2"/>
  <c r="T1586" i="2" s="1"/>
  <c r="U1573" i="2"/>
  <c r="T1573" i="2" s="1"/>
  <c r="U1571" i="2"/>
  <c r="T1571" i="2" s="1"/>
  <c r="U1781" i="2"/>
  <c r="T1781" i="2" s="1"/>
  <c r="U1670" i="2"/>
  <c r="T1670" i="2" s="1"/>
  <c r="U1561" i="2"/>
  <c r="T1561" i="2" s="1"/>
  <c r="U1552" i="2"/>
  <c r="T1552" i="2" s="1"/>
  <c r="U1550" i="2"/>
  <c r="T1550" i="2" s="1"/>
  <c r="U1527" i="2"/>
  <c r="T1527" i="2" s="1"/>
  <c r="U1508" i="2"/>
  <c r="T1508" i="2" s="1"/>
  <c r="U1506" i="2"/>
  <c r="T1506" i="2" s="1"/>
  <c r="U1487" i="2"/>
  <c r="T1487" i="2" s="1"/>
  <c r="U1485" i="2"/>
  <c r="T1485" i="2" s="1"/>
  <c r="U1476" i="2"/>
  <c r="T1476" i="2" s="1"/>
  <c r="U1467" i="2"/>
  <c r="T1467" i="2" s="1"/>
  <c r="U1448" i="2"/>
  <c r="T1448" i="2" s="1"/>
  <c r="U1435" i="2"/>
  <c r="T1435" i="2" s="1"/>
  <c r="U1681" i="2"/>
  <c r="T1681" i="2" s="1"/>
  <c r="U1664" i="2"/>
  <c r="T1664" i="2" s="1"/>
  <c r="U1559" i="2"/>
  <c r="T1559" i="2" s="1"/>
  <c r="U1548" i="2"/>
  <c r="T1548" i="2" s="1"/>
  <c r="U1546" i="2"/>
  <c r="T1546" i="2" s="1"/>
  <c r="U1544" i="2"/>
  <c r="T1544" i="2" s="1"/>
  <c r="U1542" i="2"/>
  <c r="T1542" i="2" s="1"/>
  <c r="U1540" i="2"/>
  <c r="T1540" i="2" s="1"/>
  <c r="U1525" i="2"/>
  <c r="T1525" i="2" s="1"/>
  <c r="U1523" i="2"/>
  <c r="T1523" i="2" s="1"/>
  <c r="U1521" i="2"/>
  <c r="T1521" i="2" s="1"/>
  <c r="U1519" i="2"/>
  <c r="T1519" i="2" s="1"/>
  <c r="U1502" i="2"/>
  <c r="T1502" i="2" s="1"/>
  <c r="U1500" i="2"/>
  <c r="T1500" i="2" s="1"/>
  <c r="U1474" i="2"/>
  <c r="T1474" i="2" s="1"/>
  <c r="U1465" i="2"/>
  <c r="T1465" i="2" s="1"/>
  <c r="U1463" i="2"/>
  <c r="T1463" i="2" s="1"/>
  <c r="U1461" i="2"/>
  <c r="T1461" i="2" s="1"/>
  <c r="U1459" i="2"/>
  <c r="T1459" i="2" s="1"/>
  <c r="U1457" i="2"/>
  <c r="T1457" i="2" s="1"/>
  <c r="U1455" i="2"/>
  <c r="T1455" i="2" s="1"/>
  <c r="U1444" i="2"/>
  <c r="T1444" i="2" s="1"/>
  <c r="U1622" i="2"/>
  <c r="T1622" i="2" s="1"/>
  <c r="U1567" i="2"/>
  <c r="T1567" i="2" s="1"/>
  <c r="U1555" i="2"/>
  <c r="T1555" i="2" s="1"/>
  <c r="U1536" i="2"/>
  <c r="T1536" i="2" s="1"/>
  <c r="U1534" i="2"/>
  <c r="T1534" i="2" s="1"/>
  <c r="U1515" i="2"/>
  <c r="T1515" i="2" s="1"/>
  <c r="U1513" i="2"/>
  <c r="T1513" i="2" s="1"/>
  <c r="U1496" i="2"/>
  <c r="T1496" i="2" s="1"/>
  <c r="U1494" i="2"/>
  <c r="T1494" i="2" s="1"/>
  <c r="U1481" i="2"/>
  <c r="T1481" i="2" s="1"/>
  <c r="U1453" i="2"/>
  <c r="T1453" i="2" s="1"/>
  <c r="U1442" i="2"/>
  <c r="T1442" i="2" s="1"/>
  <c r="U1440" i="2"/>
  <c r="T1440" i="2" s="1"/>
  <c r="U1668" i="2"/>
  <c r="T1668" i="2" s="1"/>
  <c r="U1581" i="2"/>
  <c r="T1581" i="2" s="1"/>
  <c r="U1577" i="2"/>
  <c r="T1577" i="2" s="1"/>
  <c r="U1564" i="2"/>
  <c r="T1564" i="2" s="1"/>
  <c r="U1530" i="2"/>
  <c r="T1530" i="2" s="1"/>
  <c r="U1492" i="2"/>
  <c r="T1492" i="2" s="1"/>
  <c r="U1490" i="2"/>
  <c r="T1490" i="2" s="1"/>
  <c r="U1479" i="2"/>
  <c r="T1479" i="2" s="1"/>
  <c r="U1451" i="2"/>
  <c r="T1451" i="2" s="1"/>
  <c r="U1438" i="2"/>
  <c r="T1438" i="2" s="1"/>
  <c r="U1418" i="2"/>
  <c r="T1418" i="2" s="1"/>
  <c r="U1416" i="2"/>
  <c r="T1416" i="2" s="1"/>
  <c r="U1414" i="2"/>
  <c r="T1414" i="2" s="1"/>
  <c r="U1393" i="2"/>
  <c r="T1393" i="2" s="1"/>
  <c r="U1391" i="2"/>
  <c r="T1391" i="2" s="1"/>
  <c r="U1368" i="2"/>
  <c r="T1368" i="2" s="1"/>
  <c r="U1366" i="2"/>
  <c r="T1366" i="2" s="1"/>
  <c r="U1364" i="2"/>
  <c r="T1364" i="2" s="1"/>
  <c r="U1362" i="2"/>
  <c r="T1362" i="2" s="1"/>
  <c r="U1679" i="2"/>
  <c r="T1679" i="2" s="1"/>
  <c r="U1662" i="2"/>
  <c r="T1662" i="2" s="1"/>
  <c r="U1643" i="2"/>
  <c r="T1643" i="2" s="1"/>
  <c r="U1551" i="2"/>
  <c r="T1551" i="2" s="1"/>
  <c r="U1528" i="2"/>
  <c r="T1528" i="2" s="1"/>
  <c r="U1509" i="2"/>
  <c r="T1509" i="2" s="1"/>
  <c r="U1507" i="2"/>
  <c r="T1507" i="2" s="1"/>
  <c r="U1505" i="2"/>
  <c r="T1505" i="2" s="1"/>
  <c r="U1488" i="2"/>
  <c r="T1488" i="2" s="1"/>
  <c r="U1486" i="2"/>
  <c r="T1486" i="2" s="1"/>
  <c r="U1477" i="2"/>
  <c r="T1477" i="2" s="1"/>
  <c r="U1447" i="2"/>
  <c r="T1447" i="2" s="1"/>
  <c r="U1434" i="2"/>
  <c r="T1434" i="2" s="1"/>
  <c r="U1432" i="2"/>
  <c r="T1432" i="2" s="1"/>
  <c r="U1743" i="2"/>
  <c r="T1743" i="2" s="1"/>
  <c r="U1672" i="2"/>
  <c r="T1672" i="2" s="1"/>
  <c r="U1620" i="2"/>
  <c r="T1620" i="2" s="1"/>
  <c r="U1584" i="2"/>
  <c r="T1584" i="2" s="1"/>
  <c r="U1569" i="2"/>
  <c r="T1569" i="2" s="1"/>
  <c r="U1558" i="2"/>
  <c r="T1558" i="2" s="1"/>
  <c r="U1547" i="2"/>
  <c r="T1547" i="2" s="1"/>
  <c r="U1545" i="2"/>
  <c r="T1545" i="2" s="1"/>
  <c r="U1543" i="2"/>
  <c r="T1543" i="2" s="1"/>
  <c r="U1541" i="2"/>
  <c r="T1541" i="2" s="1"/>
  <c r="U1539" i="2"/>
  <c r="T1539" i="2" s="1"/>
  <c r="U1524" i="2"/>
  <c r="T1524" i="2" s="1"/>
  <c r="U1522" i="2"/>
  <c r="T1522" i="2" s="1"/>
  <c r="U1520" i="2"/>
  <c r="T1520" i="2" s="1"/>
  <c r="U1518" i="2"/>
  <c r="T1518" i="2" s="1"/>
  <c r="U1503" i="2"/>
  <c r="T1503" i="2" s="1"/>
  <c r="U1501" i="2"/>
  <c r="T1501" i="2" s="1"/>
  <c r="U1499" i="2"/>
  <c r="T1499" i="2" s="1"/>
  <c r="U1473" i="2"/>
  <c r="T1473" i="2" s="1"/>
  <c r="U1464" i="2"/>
  <c r="T1464" i="2" s="1"/>
  <c r="U1462" i="2"/>
  <c r="T1462" i="2" s="1"/>
  <c r="U1460" i="2"/>
  <c r="T1460" i="2" s="1"/>
  <c r="U1683" i="2"/>
  <c r="T1683" i="2" s="1"/>
  <c r="U1666" i="2"/>
  <c r="T1666" i="2" s="1"/>
  <c r="U1556" i="2"/>
  <c r="T1556" i="2" s="1"/>
  <c r="U1537" i="2"/>
  <c r="T1537" i="2" s="1"/>
  <c r="U1535" i="2"/>
  <c r="T1535" i="2" s="1"/>
  <c r="U1533" i="2"/>
  <c r="T1533" i="2" s="1"/>
  <c r="U1516" i="2"/>
  <c r="T1516" i="2" s="1"/>
  <c r="U1514" i="2"/>
  <c r="T1514" i="2" s="1"/>
  <c r="U1512" i="2"/>
  <c r="T1512" i="2" s="1"/>
  <c r="U1497" i="2"/>
  <c r="T1497" i="2" s="1"/>
  <c r="U1495" i="2"/>
  <c r="T1495" i="2" s="1"/>
  <c r="U1482" i="2"/>
  <c r="T1482" i="2" s="1"/>
  <c r="U1471" i="2"/>
  <c r="T1471" i="2" s="1"/>
  <c r="U1441" i="2"/>
  <c r="T1441" i="2" s="1"/>
  <c r="U1428" i="2"/>
  <c r="T1428" i="2" s="1"/>
  <c r="U1373" i="2"/>
  <c r="T1373" i="2" s="1"/>
  <c r="U1371" i="2"/>
  <c r="T1371" i="2" s="1"/>
  <c r="U1660" i="2"/>
  <c r="T1660" i="2" s="1"/>
  <c r="U1456" i="2"/>
  <c r="T1456" i="2" s="1"/>
  <c r="U1433" i="2"/>
  <c r="T1433" i="2" s="1"/>
  <c r="U1430" i="2"/>
  <c r="T1430" i="2" s="1"/>
  <c r="U1413" i="2"/>
  <c r="T1413" i="2" s="1"/>
  <c r="U1404" i="2"/>
  <c r="T1404" i="2" s="1"/>
  <c r="U1397" i="2"/>
  <c r="T1397" i="2" s="1"/>
  <c r="U1390" i="2"/>
  <c r="T1390" i="2" s="1"/>
  <c r="U1388" i="2"/>
  <c r="T1388" i="2" s="1"/>
  <c r="U1378" i="2"/>
  <c r="T1378" i="2" s="1"/>
  <c r="U1279" i="2"/>
  <c r="T1279" i="2" s="1"/>
  <c r="U1213" i="2"/>
  <c r="T1213" i="2" s="1"/>
  <c r="U1189" i="2"/>
  <c r="T1189" i="2" s="1"/>
  <c r="U1187" i="2"/>
  <c r="T1187" i="2" s="1"/>
  <c r="U1166" i="2"/>
  <c r="T1166" i="2" s="1"/>
  <c r="U1147" i="2"/>
  <c r="T1147" i="2" s="1"/>
  <c r="U1563" i="2"/>
  <c r="T1563" i="2" s="1"/>
  <c r="U1419" i="2"/>
  <c r="T1419" i="2" s="1"/>
  <c r="U1410" i="2"/>
  <c r="T1410" i="2" s="1"/>
  <c r="U1407" i="2"/>
  <c r="T1407" i="2" s="1"/>
  <c r="U1401" i="2"/>
  <c r="T1401" i="2" s="1"/>
  <c r="U1399" i="2"/>
  <c r="T1399" i="2" s="1"/>
  <c r="U1385" i="2"/>
  <c r="T1385" i="2" s="1"/>
  <c r="U1369" i="2"/>
  <c r="T1369" i="2" s="1"/>
  <c r="U1361" i="2"/>
  <c r="T1361" i="2" s="1"/>
  <c r="U1359" i="2"/>
  <c r="T1359" i="2" s="1"/>
  <c r="U1357" i="2"/>
  <c r="T1357" i="2" s="1"/>
  <c r="U1277" i="2"/>
  <c r="T1277" i="2" s="1"/>
  <c r="U1275" i="2"/>
  <c r="T1275" i="2" s="1"/>
  <c r="U1273" i="2"/>
  <c r="T1273" i="2" s="1"/>
  <c r="U1271" i="2"/>
  <c r="T1271" i="2" s="1"/>
  <c r="U1269" i="2"/>
  <c r="T1269" i="2" s="1"/>
  <c r="U1267" i="2"/>
  <c r="T1267" i="2" s="1"/>
  <c r="U1265" i="2"/>
  <c r="T1265" i="2" s="1"/>
  <c r="U1263" i="2"/>
  <c r="T1263" i="2" s="1"/>
  <c r="U1261" i="2"/>
  <c r="T1261" i="2" s="1"/>
  <c r="U1259" i="2"/>
  <c r="T1259" i="2" s="1"/>
  <c r="U1257" i="2"/>
  <c r="T1257" i="2" s="1"/>
  <c r="U1255" i="2"/>
  <c r="T1255" i="2" s="1"/>
  <c r="U1253" i="2"/>
  <c r="T1253" i="2" s="1"/>
  <c r="U1251" i="2"/>
  <c r="T1251" i="2" s="1"/>
  <c r="U1249" i="2"/>
  <c r="T1249" i="2" s="1"/>
  <c r="U1247" i="2"/>
  <c r="T1247" i="2" s="1"/>
  <c r="U1245" i="2"/>
  <c r="T1245" i="2" s="1"/>
  <c r="U1243" i="2"/>
  <c r="T1243" i="2" s="1"/>
  <c r="U1241" i="2"/>
  <c r="T1241" i="2" s="1"/>
  <c r="U1222" i="2"/>
  <c r="T1222" i="2" s="1"/>
  <c r="U1211" i="2"/>
  <c r="T1211" i="2" s="1"/>
  <c r="U1715" i="2"/>
  <c r="T1715" i="2" s="1"/>
  <c r="U1491" i="2"/>
  <c r="T1491" i="2" s="1"/>
  <c r="U1445" i="2"/>
  <c r="T1445" i="2" s="1"/>
  <c r="U1392" i="2"/>
  <c r="T1392" i="2" s="1"/>
  <c r="U1382" i="2"/>
  <c r="T1382" i="2" s="1"/>
  <c r="U1375" i="2"/>
  <c r="T1375" i="2" s="1"/>
  <c r="U1220" i="2"/>
  <c r="T1220" i="2" s="1"/>
  <c r="U1218" i="2"/>
  <c r="T1218" i="2" s="1"/>
  <c r="U1198" i="2"/>
  <c r="T1198" i="2" s="1"/>
  <c r="U1196" i="2"/>
  <c r="T1196" i="2" s="1"/>
  <c r="U1194" i="2"/>
  <c r="T1194" i="2" s="1"/>
  <c r="U1183" i="2"/>
  <c r="T1183" i="2" s="1"/>
  <c r="U1181" i="2"/>
  <c r="T1181" i="2" s="1"/>
  <c r="U1179" i="2"/>
  <c r="T1179" i="2" s="1"/>
  <c r="U1177" i="2"/>
  <c r="T1177" i="2" s="1"/>
  <c r="U1175" i="2"/>
  <c r="T1175" i="2" s="1"/>
  <c r="U1162" i="2"/>
  <c r="T1162" i="2" s="1"/>
  <c r="U1160" i="2"/>
  <c r="T1160" i="2" s="1"/>
  <c r="U1158" i="2"/>
  <c r="T1158" i="2" s="1"/>
  <c r="U1425" i="2"/>
  <c r="T1425" i="2" s="1"/>
  <c r="U1415" i="2"/>
  <c r="T1415" i="2" s="1"/>
  <c r="U1406" i="2"/>
  <c r="T1406" i="2" s="1"/>
  <c r="U1403" i="2"/>
  <c r="T1403" i="2" s="1"/>
  <c r="U1387" i="2"/>
  <c r="T1387" i="2" s="1"/>
  <c r="U1377" i="2"/>
  <c r="T1377" i="2" s="1"/>
  <c r="U1363" i="2"/>
  <c r="T1363" i="2" s="1"/>
  <c r="U1296" i="2"/>
  <c r="T1296" i="2" s="1"/>
  <c r="U1294" i="2"/>
  <c r="T1294" i="2" s="1"/>
  <c r="U1292" i="2"/>
  <c r="T1292" i="2" s="1"/>
  <c r="U1290" i="2"/>
  <c r="T1290" i="2" s="1"/>
  <c r="U1288" i="2"/>
  <c r="T1288" i="2" s="1"/>
  <c r="U1286" i="2"/>
  <c r="T1286" i="2" s="1"/>
  <c r="U1284" i="2"/>
  <c r="T1284" i="2" s="1"/>
  <c r="U1282" i="2"/>
  <c r="T1282" i="2" s="1"/>
  <c r="U1235" i="2"/>
  <c r="T1235" i="2" s="1"/>
  <c r="U1233" i="2"/>
  <c r="T1233" i="2" s="1"/>
  <c r="U1231" i="2"/>
  <c r="T1231" i="2" s="1"/>
  <c r="U1229" i="2"/>
  <c r="T1229" i="2" s="1"/>
  <c r="U1227" i="2"/>
  <c r="T1227" i="2" s="1"/>
  <c r="U1225" i="2"/>
  <c r="T1225" i="2" s="1"/>
  <c r="U1458" i="2"/>
  <c r="T1458" i="2" s="1"/>
  <c r="U1409" i="2"/>
  <c r="T1409" i="2" s="1"/>
  <c r="U1398" i="2"/>
  <c r="T1398" i="2" s="1"/>
  <c r="U1394" i="2"/>
  <c r="T1394" i="2" s="1"/>
  <c r="U1384" i="2"/>
  <c r="T1384" i="2" s="1"/>
  <c r="U1379" i="2"/>
  <c r="T1379" i="2" s="1"/>
  <c r="U1356" i="2"/>
  <c r="T1356" i="2" s="1"/>
  <c r="U1280" i="2"/>
  <c r="T1280" i="2" s="1"/>
  <c r="U1531" i="2"/>
  <c r="T1531" i="2" s="1"/>
  <c r="U1422" i="2"/>
  <c r="T1422" i="2" s="1"/>
  <c r="U1381" i="2"/>
  <c r="T1381" i="2" s="1"/>
  <c r="U1365" i="2"/>
  <c r="T1365" i="2" s="1"/>
  <c r="U1276" i="2"/>
  <c r="T1276" i="2" s="1"/>
  <c r="U1274" i="2"/>
  <c r="T1274" i="2" s="1"/>
  <c r="U1272" i="2"/>
  <c r="T1272" i="2" s="1"/>
  <c r="U1270" i="2"/>
  <c r="T1270" i="2" s="1"/>
  <c r="U1268" i="2"/>
  <c r="T1268" i="2" s="1"/>
  <c r="U1266" i="2"/>
  <c r="T1266" i="2" s="1"/>
  <c r="U1264" i="2"/>
  <c r="T1264" i="2" s="1"/>
  <c r="U1262" i="2"/>
  <c r="T1262" i="2" s="1"/>
  <c r="U1260" i="2"/>
  <c r="T1260" i="2" s="1"/>
  <c r="U1258" i="2"/>
  <c r="T1258" i="2" s="1"/>
  <c r="U1256" i="2"/>
  <c r="T1256" i="2" s="1"/>
  <c r="U1254" i="2"/>
  <c r="T1254" i="2" s="1"/>
  <c r="U1252" i="2"/>
  <c r="T1252" i="2" s="1"/>
  <c r="U1250" i="2"/>
  <c r="T1250" i="2" s="1"/>
  <c r="U1248" i="2"/>
  <c r="T1248" i="2" s="1"/>
  <c r="U1246" i="2"/>
  <c r="T1246" i="2" s="1"/>
  <c r="U1624" i="2"/>
  <c r="T1624" i="2" s="1"/>
  <c r="U1450" i="2"/>
  <c r="T1450" i="2" s="1"/>
  <c r="U1437" i="2"/>
  <c r="T1437" i="2" s="1"/>
  <c r="U1424" i="2"/>
  <c r="T1424" i="2" s="1"/>
  <c r="U1417" i="2"/>
  <c r="T1417" i="2" s="1"/>
  <c r="U1408" i="2"/>
  <c r="T1408" i="2" s="1"/>
  <c r="U1405" i="2"/>
  <c r="T1405" i="2" s="1"/>
  <c r="U1402" i="2"/>
  <c r="T1402" i="2" s="1"/>
  <c r="U1386" i="2"/>
  <c r="T1386" i="2" s="1"/>
  <c r="U1372" i="2"/>
  <c r="T1372" i="2" s="1"/>
  <c r="U1238" i="2"/>
  <c r="T1238" i="2" s="1"/>
  <c r="U1219" i="2"/>
  <c r="T1219" i="2" s="1"/>
  <c r="U1217" i="2"/>
  <c r="T1217" i="2" s="1"/>
  <c r="U1411" i="2"/>
  <c r="T1411" i="2" s="1"/>
  <c r="U1289" i="2"/>
  <c r="T1289" i="2" s="1"/>
  <c r="U1579" i="2"/>
  <c r="T1579" i="2" s="1"/>
  <c r="U1283" i="2"/>
  <c r="T1283" i="2" s="1"/>
  <c r="U1215" i="2"/>
  <c r="T1215" i="2" s="1"/>
  <c r="U1209" i="2"/>
  <c r="T1209" i="2" s="1"/>
  <c r="U1206" i="2"/>
  <c r="T1206" i="2" s="1"/>
  <c r="U1163" i="2"/>
  <c r="T1163" i="2" s="1"/>
  <c r="U1148" i="2"/>
  <c r="T1148" i="2" s="1"/>
  <c r="U1140" i="2"/>
  <c r="T1140" i="2" s="1"/>
  <c r="U1138" i="2"/>
  <c r="T1138" i="2" s="1"/>
  <c r="U1136" i="2"/>
  <c r="T1136" i="2" s="1"/>
  <c r="U1084" i="2"/>
  <c r="T1084" i="2" s="1"/>
  <c r="U1065" i="2"/>
  <c r="T1065" i="2" s="1"/>
  <c r="U1063" i="2"/>
  <c r="T1063" i="2" s="1"/>
  <c r="U1061" i="2"/>
  <c r="T1061" i="2" s="1"/>
  <c r="U1035" i="2"/>
  <c r="T1035" i="2" s="1"/>
  <c r="U1016" i="2"/>
  <c r="T1016" i="2" s="1"/>
  <c r="U1014" i="2"/>
  <c r="T1014" i="2" s="1"/>
  <c r="U1012" i="2"/>
  <c r="T1012" i="2" s="1"/>
  <c r="U993" i="2"/>
  <c r="T993" i="2" s="1"/>
  <c r="U991" i="2"/>
  <c r="T991" i="2" s="1"/>
  <c r="U989" i="2"/>
  <c r="T989" i="2" s="1"/>
  <c r="U982" i="2"/>
  <c r="T982" i="2" s="1"/>
  <c r="U980" i="2"/>
  <c r="T980" i="2" s="1"/>
  <c r="U978" i="2"/>
  <c r="T978" i="2" s="1"/>
  <c r="U976" i="2"/>
  <c r="T976" i="2" s="1"/>
  <c r="U974" i="2"/>
  <c r="T974" i="2" s="1"/>
  <c r="U972" i="2"/>
  <c r="T972" i="2" s="1"/>
  <c r="U1293" i="2"/>
  <c r="T1293" i="2" s="1"/>
  <c r="U1195" i="2"/>
  <c r="T1195" i="2" s="1"/>
  <c r="U1188" i="2"/>
  <c r="T1188" i="2" s="1"/>
  <c r="U1176" i="2"/>
  <c r="T1176" i="2" s="1"/>
  <c r="U1169" i="2"/>
  <c r="T1169" i="2" s="1"/>
  <c r="U1134" i="2"/>
  <c r="T1134" i="2" s="1"/>
  <c r="U1132" i="2"/>
  <c r="T1132" i="2" s="1"/>
  <c r="U1123" i="2"/>
  <c r="T1123" i="2" s="1"/>
  <c r="U1121" i="2"/>
  <c r="T1121" i="2" s="1"/>
  <c r="U1112" i="2"/>
  <c r="T1112" i="2" s="1"/>
  <c r="U1110" i="2"/>
  <c r="T1110" i="2" s="1"/>
  <c r="U1108" i="2"/>
  <c r="T1108" i="2" s="1"/>
  <c r="U1106" i="2"/>
  <c r="T1106" i="2" s="1"/>
  <c r="U1093" i="2"/>
  <c r="T1093" i="2" s="1"/>
  <c r="U1091" i="2"/>
  <c r="T1091" i="2" s="1"/>
  <c r="U1469" i="2"/>
  <c r="T1469" i="2" s="1"/>
  <c r="U1383" i="2"/>
  <c r="T1383" i="2" s="1"/>
  <c r="U1287" i="2"/>
  <c r="T1287" i="2" s="1"/>
  <c r="U1242" i="2"/>
  <c r="T1242" i="2" s="1"/>
  <c r="U1236" i="2"/>
  <c r="T1236" i="2" s="1"/>
  <c r="U1232" i="2"/>
  <c r="T1232" i="2" s="1"/>
  <c r="U1228" i="2"/>
  <c r="T1228" i="2" s="1"/>
  <c r="U1208" i="2"/>
  <c r="T1208" i="2" s="1"/>
  <c r="U1171" i="2"/>
  <c r="T1171" i="2" s="1"/>
  <c r="U1117" i="2"/>
  <c r="T1117" i="2" s="1"/>
  <c r="U1104" i="2"/>
  <c r="T1104" i="2" s="1"/>
  <c r="U1102" i="2"/>
  <c r="T1102" i="2" s="1"/>
  <c r="U1100" i="2"/>
  <c r="T1100" i="2" s="1"/>
  <c r="U1089" i="2"/>
  <c r="T1089" i="2" s="1"/>
  <c r="U1078" i="2"/>
  <c r="T1078" i="2" s="1"/>
  <c r="U1076" i="2"/>
  <c r="T1076" i="2" s="1"/>
  <c r="U1074" i="2"/>
  <c r="T1074" i="2" s="1"/>
  <c r="U1057" i="2"/>
  <c r="T1057" i="2" s="1"/>
  <c r="U1031" i="2"/>
  <c r="T1031" i="2" s="1"/>
  <c r="U1297" i="2"/>
  <c r="T1297" i="2" s="1"/>
  <c r="U1205" i="2"/>
  <c r="T1205" i="2" s="1"/>
  <c r="U1197" i="2"/>
  <c r="T1197" i="2" s="1"/>
  <c r="U1190" i="2"/>
  <c r="T1190" i="2" s="1"/>
  <c r="U1178" i="2"/>
  <c r="T1178" i="2" s="1"/>
  <c r="U1173" i="2"/>
  <c r="T1173" i="2" s="1"/>
  <c r="U1155" i="2"/>
  <c r="T1155" i="2" s="1"/>
  <c r="U1153" i="2"/>
  <c r="T1153" i="2" s="1"/>
  <c r="U1151" i="2"/>
  <c r="T1151" i="2" s="1"/>
  <c r="U1145" i="2"/>
  <c r="T1145" i="2" s="1"/>
  <c r="U1143" i="2"/>
  <c r="T1143" i="2" s="1"/>
  <c r="U1128" i="2"/>
  <c r="T1128" i="2" s="1"/>
  <c r="U1126" i="2"/>
  <c r="T1126" i="2" s="1"/>
  <c r="U1096" i="2"/>
  <c r="T1096" i="2" s="1"/>
  <c r="U1087" i="2"/>
  <c r="T1087" i="2" s="1"/>
  <c r="U1072" i="2"/>
  <c r="T1072" i="2" s="1"/>
  <c r="U1070" i="2"/>
  <c r="T1070" i="2" s="1"/>
  <c r="U1068" i="2"/>
  <c r="T1068" i="2" s="1"/>
  <c r="U1055" i="2"/>
  <c r="T1055" i="2" s="1"/>
  <c r="U1053" i="2"/>
  <c r="T1053" i="2" s="1"/>
  <c r="U1051" i="2"/>
  <c r="T1051" i="2" s="1"/>
  <c r="U1040" i="2"/>
  <c r="T1040" i="2" s="1"/>
  <c r="U1038" i="2"/>
  <c r="T1038" i="2" s="1"/>
  <c r="U1029" i="2"/>
  <c r="T1029" i="2" s="1"/>
  <c r="U1027" i="2"/>
  <c r="T1027" i="2" s="1"/>
  <c r="U1025" i="2"/>
  <c r="T1025" i="2" s="1"/>
  <c r="U1023" i="2"/>
  <c r="T1023" i="2" s="1"/>
  <c r="U1021" i="2"/>
  <c r="T1021" i="2" s="1"/>
  <c r="U1019" i="2"/>
  <c r="T1019" i="2" s="1"/>
  <c r="U1008" i="2"/>
  <c r="T1008" i="2" s="1"/>
  <c r="U1006" i="2"/>
  <c r="T1006" i="2" s="1"/>
  <c r="U1004" i="2"/>
  <c r="T1004" i="2" s="1"/>
  <c r="U1002" i="2"/>
  <c r="T1002" i="2" s="1"/>
  <c r="U1367" i="2"/>
  <c r="T1367" i="2" s="1"/>
  <c r="U1291" i="2"/>
  <c r="T1291" i="2" s="1"/>
  <c r="U1159" i="2"/>
  <c r="T1159" i="2" s="1"/>
  <c r="U1139" i="2"/>
  <c r="T1139" i="2" s="1"/>
  <c r="U1137" i="2"/>
  <c r="T1137" i="2" s="1"/>
  <c r="U1285" i="2"/>
  <c r="T1285" i="2" s="1"/>
  <c r="U1210" i="2"/>
  <c r="T1210" i="2" s="1"/>
  <c r="U1207" i="2"/>
  <c r="T1207" i="2" s="1"/>
  <c r="U1199" i="2"/>
  <c r="T1199" i="2" s="1"/>
  <c r="U1180" i="2"/>
  <c r="T1180" i="2" s="1"/>
  <c r="U1168" i="2"/>
  <c r="T1168" i="2" s="1"/>
  <c r="U1133" i="2"/>
  <c r="T1133" i="2" s="1"/>
  <c r="U1131" i="2"/>
  <c r="T1131" i="2" s="1"/>
  <c r="U1122" i="2"/>
  <c r="T1122" i="2" s="1"/>
  <c r="U1120" i="2"/>
  <c r="T1120" i="2" s="1"/>
  <c r="U1111" i="2"/>
  <c r="T1111" i="2" s="1"/>
  <c r="U1109" i="2"/>
  <c r="T1109" i="2" s="1"/>
  <c r="U1107" i="2"/>
  <c r="T1107" i="2" s="1"/>
  <c r="U1092" i="2"/>
  <c r="T1092" i="2" s="1"/>
  <c r="U1081" i="2"/>
  <c r="T1081" i="2" s="1"/>
  <c r="U1047" i="2"/>
  <c r="T1047" i="2" s="1"/>
  <c r="U1045" i="2"/>
  <c r="T1045" i="2" s="1"/>
  <c r="U969" i="2"/>
  <c r="T969" i="2" s="1"/>
  <c r="U967" i="2"/>
  <c r="T967" i="2" s="1"/>
  <c r="U958" i="2"/>
  <c r="T958" i="2" s="1"/>
  <c r="U951" i="2"/>
  <c r="T951" i="2" s="1"/>
  <c r="U949" i="2"/>
  <c r="T949" i="2" s="1"/>
  <c r="U1240" i="2"/>
  <c r="T1240" i="2" s="1"/>
  <c r="U1230" i="2"/>
  <c r="T1230" i="2" s="1"/>
  <c r="U1156" i="2"/>
  <c r="T1156" i="2" s="1"/>
  <c r="U1152" i="2"/>
  <c r="T1152" i="2" s="1"/>
  <c r="U1127" i="2"/>
  <c r="T1127" i="2" s="1"/>
  <c r="U1099" i="2"/>
  <c r="T1099" i="2" s="1"/>
  <c r="U1058" i="2"/>
  <c r="T1058" i="2" s="1"/>
  <c r="U1052" i="2"/>
  <c r="T1052" i="2" s="1"/>
  <c r="U1015" i="2"/>
  <c r="T1015" i="2" s="1"/>
  <c r="U1007" i="2"/>
  <c r="T1007" i="2" s="1"/>
  <c r="U998" i="2"/>
  <c r="T998" i="2" s="1"/>
  <c r="U984" i="2"/>
  <c r="T984" i="2" s="1"/>
  <c r="U979" i="2"/>
  <c r="T979" i="2" s="1"/>
  <c r="U966" i="2"/>
  <c r="T966" i="2" s="1"/>
  <c r="U960" i="2"/>
  <c r="T960" i="2" s="1"/>
  <c r="U1295" i="2"/>
  <c r="T1295" i="2" s="1"/>
  <c r="U1079" i="2"/>
  <c r="T1079" i="2" s="1"/>
  <c r="U1075" i="2"/>
  <c r="T1075" i="2" s="1"/>
  <c r="U1069" i="2"/>
  <c r="T1069" i="2" s="1"/>
  <c r="U1066" i="2"/>
  <c r="T1066" i="2" s="1"/>
  <c r="U1046" i="2"/>
  <c r="T1046" i="2" s="1"/>
  <c r="U1041" i="2"/>
  <c r="T1041" i="2" s="1"/>
  <c r="U1024" i="2"/>
  <c r="T1024" i="2" s="1"/>
  <c r="U990" i="2"/>
  <c r="T990" i="2" s="1"/>
  <c r="U954" i="2"/>
  <c r="T954" i="2" s="1"/>
  <c r="U937" i="2"/>
  <c r="T937" i="2" s="1"/>
  <c r="U930" i="2"/>
  <c r="T930" i="2" s="1"/>
  <c r="U923" i="2"/>
  <c r="T923" i="2" s="1"/>
  <c r="U921" i="2"/>
  <c r="T921" i="2" s="1"/>
  <c r="U919" i="2"/>
  <c r="T919" i="2" s="1"/>
  <c r="U917" i="2"/>
  <c r="T917" i="2" s="1"/>
  <c r="U915" i="2"/>
  <c r="T915" i="2" s="1"/>
  <c r="U913" i="2"/>
  <c r="T913" i="2" s="1"/>
  <c r="U911" i="2"/>
  <c r="T911" i="2" s="1"/>
  <c r="U872" i="2"/>
  <c r="T872" i="2" s="1"/>
  <c r="U859" i="2"/>
  <c r="T859" i="2" s="1"/>
  <c r="U857" i="2"/>
  <c r="T857" i="2" s="1"/>
  <c r="U855" i="2"/>
  <c r="T855" i="2" s="1"/>
  <c r="U853" i="2"/>
  <c r="T853" i="2" s="1"/>
  <c r="U851" i="2"/>
  <c r="T851" i="2" s="1"/>
  <c r="U849" i="2"/>
  <c r="T849" i="2" s="1"/>
  <c r="U838" i="2"/>
  <c r="T838" i="2" s="1"/>
  <c r="U819" i="2"/>
  <c r="T819" i="2" s="1"/>
  <c r="U817" i="2"/>
  <c r="T817" i="2" s="1"/>
  <c r="U799" i="2"/>
  <c r="T799" i="2" s="1"/>
  <c r="U1186" i="2"/>
  <c r="T1186" i="2" s="1"/>
  <c r="U1170" i="2"/>
  <c r="T1170" i="2" s="1"/>
  <c r="U1144" i="2"/>
  <c r="T1144" i="2" s="1"/>
  <c r="U1103" i="2"/>
  <c r="T1103" i="2" s="1"/>
  <c r="U1082" i="2"/>
  <c r="T1082" i="2" s="1"/>
  <c r="U1003" i="2"/>
  <c r="T1003" i="2" s="1"/>
  <c r="U1244" i="2"/>
  <c r="T1244" i="2" s="1"/>
  <c r="U1234" i="2"/>
  <c r="T1234" i="2" s="1"/>
  <c r="U1193" i="2"/>
  <c r="T1193" i="2" s="1"/>
  <c r="U1062" i="2"/>
  <c r="T1062" i="2" s="1"/>
  <c r="U1054" i="2"/>
  <c r="T1054" i="2" s="1"/>
  <c r="U1034" i="2"/>
  <c r="T1034" i="2" s="1"/>
  <c r="U1020" i="2"/>
  <c r="T1020" i="2" s="1"/>
  <c r="U1017" i="2"/>
  <c r="T1017" i="2" s="1"/>
  <c r="U997" i="2"/>
  <c r="T997" i="2" s="1"/>
  <c r="U992" i="2"/>
  <c r="T992" i="2" s="1"/>
  <c r="U943" i="2"/>
  <c r="T943" i="2" s="1"/>
  <c r="U939" i="2"/>
  <c r="T939" i="2" s="1"/>
  <c r="U927" i="2"/>
  <c r="T927" i="2" s="1"/>
  <c r="U866" i="2"/>
  <c r="T866" i="2" s="1"/>
  <c r="U864" i="2"/>
  <c r="T864" i="2" s="1"/>
  <c r="U845" i="2"/>
  <c r="T845" i="2" s="1"/>
  <c r="U828" i="2"/>
  <c r="T828" i="2" s="1"/>
  <c r="U826" i="2"/>
  <c r="T826" i="2" s="1"/>
  <c r="U824" i="2"/>
  <c r="T824" i="2" s="1"/>
  <c r="U804" i="2"/>
  <c r="T804" i="2" s="1"/>
  <c r="U1376" i="2"/>
  <c r="T1376" i="2" s="1"/>
  <c r="U1154" i="2"/>
  <c r="T1154" i="2" s="1"/>
  <c r="U1150" i="2"/>
  <c r="T1150" i="2" s="1"/>
  <c r="U1118" i="2"/>
  <c r="T1118" i="2" s="1"/>
  <c r="U1071" i="2"/>
  <c r="T1071" i="2" s="1"/>
  <c r="U1048" i="2"/>
  <c r="T1048" i="2" s="1"/>
  <c r="U1026" i="2"/>
  <c r="T1026" i="2" s="1"/>
  <c r="U1226" i="2"/>
  <c r="T1226" i="2" s="1"/>
  <c r="U1101" i="2"/>
  <c r="T1101" i="2" s="1"/>
  <c r="U1077" i="2"/>
  <c r="T1077" i="2" s="1"/>
  <c r="U1013" i="2"/>
  <c r="T1013" i="2" s="1"/>
  <c r="U1005" i="2"/>
  <c r="T1005" i="2" s="1"/>
  <c r="U999" i="2"/>
  <c r="T999" i="2" s="1"/>
  <c r="U994" i="2"/>
  <c r="T994" i="2" s="1"/>
  <c r="U963" i="2"/>
  <c r="T963" i="2" s="1"/>
  <c r="U961" i="2"/>
  <c r="T961" i="2" s="1"/>
  <c r="U931" i="2"/>
  <c r="T931" i="2" s="1"/>
  <c r="U922" i="2"/>
  <c r="T922" i="2" s="1"/>
  <c r="U920" i="2"/>
  <c r="T920" i="2" s="1"/>
  <c r="U918" i="2"/>
  <c r="T918" i="2" s="1"/>
  <c r="U916" i="2"/>
  <c r="T916" i="2" s="1"/>
  <c r="U914" i="2"/>
  <c r="T914" i="2" s="1"/>
  <c r="U912" i="2"/>
  <c r="T912" i="2" s="1"/>
  <c r="U871" i="2"/>
  <c r="T871" i="2" s="1"/>
  <c r="U860" i="2"/>
  <c r="T860" i="2" s="1"/>
  <c r="U858" i="2"/>
  <c r="T858" i="2" s="1"/>
  <c r="U856" i="2"/>
  <c r="T856" i="2" s="1"/>
  <c r="U854" i="2"/>
  <c r="T854" i="2" s="1"/>
  <c r="U852" i="2"/>
  <c r="T852" i="2" s="1"/>
  <c r="U850" i="2"/>
  <c r="T850" i="2" s="1"/>
  <c r="U839" i="2"/>
  <c r="T839" i="2" s="1"/>
  <c r="U837" i="2"/>
  <c r="T837" i="2" s="1"/>
  <c r="U818" i="2"/>
  <c r="T818" i="2" s="1"/>
  <c r="U807" i="2"/>
  <c r="T807" i="2" s="1"/>
  <c r="U800" i="2"/>
  <c r="T800" i="2" s="1"/>
  <c r="U798" i="2"/>
  <c r="T798" i="2" s="1"/>
  <c r="U1182" i="2"/>
  <c r="T1182" i="2" s="1"/>
  <c r="U1161" i="2"/>
  <c r="T1161" i="2" s="1"/>
  <c r="U1146" i="2"/>
  <c r="T1146" i="2" s="1"/>
  <c r="U1142" i="2"/>
  <c r="T1142" i="2" s="1"/>
  <c r="U1097" i="2"/>
  <c r="T1097" i="2" s="1"/>
  <c r="U1086" i="2"/>
  <c r="T1086" i="2" s="1"/>
  <c r="U1064" i="2"/>
  <c r="T1064" i="2" s="1"/>
  <c r="U1044" i="2"/>
  <c r="T1044" i="2" s="1"/>
  <c r="U1039" i="2"/>
  <c r="T1039" i="2" s="1"/>
  <c r="U1036" i="2"/>
  <c r="T1036" i="2" s="1"/>
  <c r="U1022" i="2"/>
  <c r="T1022" i="2" s="1"/>
  <c r="U996" i="2"/>
  <c r="T996" i="2" s="1"/>
  <c r="U977" i="2"/>
  <c r="T977" i="2" s="1"/>
  <c r="U938" i="2"/>
  <c r="T938" i="2" s="1"/>
  <c r="U924" i="2"/>
  <c r="T924" i="2" s="1"/>
  <c r="U869" i="2"/>
  <c r="T869" i="2" s="1"/>
  <c r="U835" i="2"/>
  <c r="T835" i="2" s="1"/>
  <c r="U833" i="2"/>
  <c r="T833" i="2" s="1"/>
  <c r="U831" i="2"/>
  <c r="T831" i="2" s="1"/>
  <c r="U796" i="2"/>
  <c r="T796" i="2" s="1"/>
  <c r="U794" i="2"/>
  <c r="T794" i="2" s="1"/>
  <c r="U1172" i="2"/>
  <c r="T1172" i="2" s="1"/>
  <c r="U1116" i="2"/>
  <c r="T1116" i="2" s="1"/>
  <c r="U1028" i="2"/>
  <c r="T1028" i="2" s="1"/>
  <c r="U1001" i="2"/>
  <c r="T1001" i="2" s="1"/>
  <c r="U981" i="2"/>
  <c r="T981" i="2" s="1"/>
  <c r="U810" i="2"/>
  <c r="T810" i="2" s="1"/>
  <c r="U788" i="2"/>
  <c r="T788" i="2" s="1"/>
  <c r="U746" i="2"/>
  <c r="T746" i="2" s="1"/>
  <c r="U744" i="2"/>
  <c r="T744" i="2" s="1"/>
  <c r="U725" i="2"/>
  <c r="T725" i="2" s="1"/>
  <c r="U699" i="2"/>
  <c r="T699" i="2" s="1"/>
  <c r="U697" i="2"/>
  <c r="T697" i="2" s="1"/>
  <c r="U684" i="2"/>
  <c r="T684" i="2" s="1"/>
  <c r="U682" i="2"/>
  <c r="T682" i="2" s="1"/>
  <c r="U680" i="2"/>
  <c r="T680" i="2" s="1"/>
  <c r="U659" i="2"/>
  <c r="T659" i="2" s="1"/>
  <c r="U644" i="2"/>
  <c r="T644" i="2" s="1"/>
  <c r="U642" i="2"/>
  <c r="T642" i="2" s="1"/>
  <c r="U627" i="2"/>
  <c r="T627" i="2" s="1"/>
  <c r="U625" i="2"/>
  <c r="T625" i="2" s="1"/>
  <c r="U623" i="2"/>
  <c r="T623" i="2" s="1"/>
  <c r="U946" i="2"/>
  <c r="T946" i="2" s="1"/>
  <c r="U846" i="2"/>
  <c r="T846" i="2" s="1"/>
  <c r="U832" i="2"/>
  <c r="T832" i="2" s="1"/>
  <c r="U781" i="2"/>
  <c r="T781" i="2" s="1"/>
  <c r="U708" i="2"/>
  <c r="T708" i="2" s="1"/>
  <c r="U693" i="2"/>
  <c r="T693" i="2" s="1"/>
  <c r="U678" i="2"/>
  <c r="T678" i="2" s="1"/>
  <c r="U676" i="2"/>
  <c r="T676" i="2" s="1"/>
  <c r="U674" i="2"/>
  <c r="T674" i="2" s="1"/>
  <c r="U672" i="2"/>
  <c r="T672" i="2" s="1"/>
  <c r="U670" i="2"/>
  <c r="T670" i="2" s="1"/>
  <c r="U975" i="2"/>
  <c r="T975" i="2" s="1"/>
  <c r="U968" i="2"/>
  <c r="T968" i="2" s="1"/>
  <c r="U936" i="2"/>
  <c r="T936" i="2" s="1"/>
  <c r="U825" i="2"/>
  <c r="T825" i="2" s="1"/>
  <c r="U822" i="2"/>
  <c r="T822" i="2" s="1"/>
  <c r="U812" i="2"/>
  <c r="T812" i="2" s="1"/>
  <c r="U783" i="2"/>
  <c r="T783" i="2" s="1"/>
  <c r="U779" i="2"/>
  <c r="T779" i="2" s="1"/>
  <c r="U721" i="2"/>
  <c r="T721" i="2" s="1"/>
  <c r="U719" i="2"/>
  <c r="T719" i="2" s="1"/>
  <c r="U706" i="2"/>
  <c r="T706" i="2" s="1"/>
  <c r="U691" i="2"/>
  <c r="T691" i="2" s="1"/>
  <c r="U689" i="2"/>
  <c r="T689" i="2" s="1"/>
  <c r="U988" i="2"/>
  <c r="T988" i="2" s="1"/>
  <c r="U940" i="2"/>
  <c r="T940" i="2" s="1"/>
  <c r="U926" i="2"/>
  <c r="T926" i="2" s="1"/>
  <c r="U814" i="2"/>
  <c r="T814" i="2" s="1"/>
  <c r="U809" i="2"/>
  <c r="T809" i="2" s="1"/>
  <c r="U785" i="2"/>
  <c r="T785" i="2" s="1"/>
  <c r="U775" i="2"/>
  <c r="T775" i="2" s="1"/>
  <c r="U773" i="2"/>
  <c r="T773" i="2" s="1"/>
  <c r="U771" i="2"/>
  <c r="T771" i="2" s="1"/>
  <c r="U769" i="2"/>
  <c r="T769" i="2" s="1"/>
  <c r="U767" i="2"/>
  <c r="T767" i="2" s="1"/>
  <c r="U765" i="2"/>
  <c r="T765" i="2" s="1"/>
  <c r="U763" i="2"/>
  <c r="T763" i="2" s="1"/>
  <c r="U761" i="2"/>
  <c r="T761" i="2" s="1"/>
  <c r="U759" i="2"/>
  <c r="T759" i="2" s="1"/>
  <c r="U757" i="2"/>
  <c r="T757" i="2" s="1"/>
  <c r="U755" i="2"/>
  <c r="T755" i="2" s="1"/>
  <c r="U753" i="2"/>
  <c r="T753" i="2" s="1"/>
  <c r="U751" i="2"/>
  <c r="T751" i="2" s="1"/>
  <c r="U749" i="2"/>
  <c r="T749" i="2" s="1"/>
  <c r="U738" i="2"/>
  <c r="T738" i="2" s="1"/>
  <c r="U736" i="2"/>
  <c r="T736" i="2" s="1"/>
  <c r="U734" i="2"/>
  <c r="T734" i="2" s="1"/>
  <c r="U732" i="2"/>
  <c r="T732" i="2" s="1"/>
  <c r="U730" i="2"/>
  <c r="T730" i="2" s="1"/>
  <c r="U728" i="2"/>
  <c r="T728" i="2" s="1"/>
  <c r="U715" i="2"/>
  <c r="T715" i="2" s="1"/>
  <c r="U713" i="2"/>
  <c r="T713" i="2" s="1"/>
  <c r="U711" i="2"/>
  <c r="T711" i="2" s="1"/>
  <c r="U702" i="2"/>
  <c r="T702" i="2" s="1"/>
  <c r="U935" i="2"/>
  <c r="T935" i="2" s="1"/>
  <c r="U929" i="2"/>
  <c r="T929" i="2" s="1"/>
  <c r="U842" i="2"/>
  <c r="T842" i="2" s="1"/>
  <c r="U834" i="2"/>
  <c r="T834" i="2" s="1"/>
  <c r="U787" i="2"/>
  <c r="T787" i="2" s="1"/>
  <c r="U747" i="2"/>
  <c r="T747" i="2" s="1"/>
  <c r="U745" i="2"/>
  <c r="T745" i="2" s="1"/>
  <c r="U698" i="2"/>
  <c r="T698" i="2" s="1"/>
  <c r="U696" i="2"/>
  <c r="T696" i="2" s="1"/>
  <c r="U685" i="2"/>
  <c r="T685" i="2" s="1"/>
  <c r="U683" i="2"/>
  <c r="T683" i="2" s="1"/>
  <c r="U681" i="2"/>
  <c r="T681" i="2" s="1"/>
  <c r="U660" i="2"/>
  <c r="T660" i="2" s="1"/>
  <c r="U643" i="2"/>
  <c r="T643" i="2" s="1"/>
  <c r="U628" i="2"/>
  <c r="T628" i="2" s="1"/>
  <c r="U626" i="2"/>
  <c r="T626" i="2" s="1"/>
  <c r="U624" i="2"/>
  <c r="T624" i="2" s="1"/>
  <c r="U622" i="2"/>
  <c r="T622" i="2" s="1"/>
  <c r="U953" i="2"/>
  <c r="T953" i="2" s="1"/>
  <c r="U932" i="2"/>
  <c r="T932" i="2" s="1"/>
  <c r="U925" i="2"/>
  <c r="T925" i="2" s="1"/>
  <c r="U868" i="2"/>
  <c r="T868" i="2" s="1"/>
  <c r="U865" i="2"/>
  <c r="T865" i="2" s="1"/>
  <c r="U862" i="2"/>
  <c r="T862" i="2" s="1"/>
  <c r="U844" i="2"/>
  <c r="T844" i="2" s="1"/>
  <c r="U821" i="2"/>
  <c r="T821" i="2" s="1"/>
  <c r="U811" i="2"/>
  <c r="T811" i="2" s="1"/>
  <c r="U782" i="2"/>
  <c r="T782" i="2" s="1"/>
  <c r="U973" i="2"/>
  <c r="T973" i="2" s="1"/>
  <c r="U970" i="2"/>
  <c r="T970" i="2" s="1"/>
  <c r="U950" i="2"/>
  <c r="T950" i="2" s="1"/>
  <c r="U934" i="2"/>
  <c r="T934" i="2" s="1"/>
  <c r="U830" i="2"/>
  <c r="T830" i="2" s="1"/>
  <c r="U827" i="2"/>
  <c r="T827" i="2" s="1"/>
  <c r="U803" i="2"/>
  <c r="T803" i="2" s="1"/>
  <c r="U784" i="2"/>
  <c r="T784" i="2" s="1"/>
  <c r="U778" i="2"/>
  <c r="T778" i="2" s="1"/>
  <c r="U741" i="2"/>
  <c r="T741" i="2" s="1"/>
  <c r="U722" i="2"/>
  <c r="T722" i="2" s="1"/>
  <c r="U720" i="2"/>
  <c r="T720" i="2" s="1"/>
  <c r="U718" i="2"/>
  <c r="T718" i="2" s="1"/>
  <c r="U705" i="2"/>
  <c r="T705" i="2" s="1"/>
  <c r="U690" i="2"/>
  <c r="T690" i="2" s="1"/>
  <c r="U688" i="2"/>
  <c r="T688" i="2" s="1"/>
  <c r="U667" i="2"/>
  <c r="T667" i="2" s="1"/>
  <c r="U762" i="2"/>
  <c r="T762" i="2" s="1"/>
  <c r="U675" i="2"/>
  <c r="T675" i="2" s="1"/>
  <c r="U671" i="2"/>
  <c r="T671" i="2" s="1"/>
  <c r="U668" i="2"/>
  <c r="T668" i="2" s="1"/>
  <c r="U663" i="2"/>
  <c r="T663" i="2" s="1"/>
  <c r="U656" i="2"/>
  <c r="T656" i="2" s="1"/>
  <c r="U640" i="2"/>
  <c r="T640" i="2" s="1"/>
  <c r="U605" i="2"/>
  <c r="T605" i="2" s="1"/>
  <c r="U603" i="2"/>
  <c r="T603" i="2" s="1"/>
  <c r="U601" i="2"/>
  <c r="T601" i="2" s="1"/>
  <c r="U841" i="2"/>
  <c r="T841" i="2" s="1"/>
  <c r="U795" i="2"/>
  <c r="T795" i="2" s="1"/>
  <c r="U772" i="2"/>
  <c r="T772" i="2" s="1"/>
  <c r="U756" i="2"/>
  <c r="T756" i="2" s="1"/>
  <c r="U714" i="2"/>
  <c r="T714" i="2" s="1"/>
  <c r="U647" i="2"/>
  <c r="T647" i="2" s="1"/>
  <c r="U637" i="2"/>
  <c r="T637" i="2" s="1"/>
  <c r="U632" i="2"/>
  <c r="T632" i="2" s="1"/>
  <c r="U597" i="2"/>
  <c r="T597" i="2" s="1"/>
  <c r="U584" i="2"/>
  <c r="T584" i="2" s="1"/>
  <c r="U582" i="2"/>
  <c r="T582" i="2" s="1"/>
  <c r="U569" i="2"/>
  <c r="T569" i="2" s="1"/>
  <c r="U567" i="2"/>
  <c r="T567" i="2" s="1"/>
  <c r="U548" i="2"/>
  <c r="T548" i="2" s="1"/>
  <c r="U546" i="2"/>
  <c r="T546" i="2" s="1"/>
  <c r="U544" i="2"/>
  <c r="T544" i="2" s="1"/>
  <c r="U497" i="2"/>
  <c r="T497" i="2" s="1"/>
  <c r="U928" i="2"/>
  <c r="T928" i="2" s="1"/>
  <c r="U766" i="2"/>
  <c r="T766" i="2" s="1"/>
  <c r="U750" i="2"/>
  <c r="T750" i="2" s="1"/>
  <c r="U649" i="2"/>
  <c r="T649" i="2" s="1"/>
  <c r="U620" i="2"/>
  <c r="T620" i="2" s="1"/>
  <c r="U618" i="2"/>
  <c r="T618" i="2" s="1"/>
  <c r="U616" i="2"/>
  <c r="T616" i="2" s="1"/>
  <c r="U614" i="2"/>
  <c r="T614" i="2" s="1"/>
  <c r="U593" i="2"/>
  <c r="T593" i="2" s="1"/>
  <c r="U578" i="2"/>
  <c r="T578" i="2" s="1"/>
  <c r="U565" i="2"/>
  <c r="T565" i="2" s="1"/>
  <c r="U563" i="2"/>
  <c r="T563" i="2" s="1"/>
  <c r="U542" i="2"/>
  <c r="T542" i="2" s="1"/>
  <c r="U529" i="2"/>
  <c r="T529" i="2" s="1"/>
  <c r="U527" i="2"/>
  <c r="T527" i="2" s="1"/>
  <c r="U525" i="2"/>
  <c r="T525" i="2" s="1"/>
  <c r="U523" i="2"/>
  <c r="T523" i="2" s="1"/>
  <c r="U512" i="2"/>
  <c r="T512" i="2" s="1"/>
  <c r="U485" i="2"/>
  <c r="T485" i="2" s="1"/>
  <c r="U786" i="2"/>
  <c r="T786" i="2" s="1"/>
  <c r="U776" i="2"/>
  <c r="T776" i="2" s="1"/>
  <c r="U760" i="2"/>
  <c r="T760" i="2" s="1"/>
  <c r="U739" i="2"/>
  <c r="T739" i="2" s="1"/>
  <c r="U735" i="2"/>
  <c r="T735" i="2" s="1"/>
  <c r="U731" i="2"/>
  <c r="T731" i="2" s="1"/>
  <c r="U727" i="2"/>
  <c r="T727" i="2" s="1"/>
  <c r="U703" i="2"/>
  <c r="T703" i="2" s="1"/>
  <c r="U651" i="2"/>
  <c r="T651" i="2" s="1"/>
  <c r="U639" i="2"/>
  <c r="T639" i="2" s="1"/>
  <c r="U634" i="2"/>
  <c r="T634" i="2" s="1"/>
  <c r="U612" i="2"/>
  <c r="T612" i="2" s="1"/>
  <c r="U610" i="2"/>
  <c r="T610" i="2" s="1"/>
  <c r="U608" i="2"/>
  <c r="T608" i="2" s="1"/>
  <c r="U589" i="2"/>
  <c r="T589" i="2" s="1"/>
  <c r="U587" i="2"/>
  <c r="T587" i="2" s="1"/>
  <c r="U561" i="2"/>
  <c r="T561" i="2" s="1"/>
  <c r="U559" i="2"/>
  <c r="T559" i="2" s="1"/>
  <c r="U770" i="2"/>
  <c r="T770" i="2" s="1"/>
  <c r="U754" i="2"/>
  <c r="T754" i="2" s="1"/>
  <c r="U677" i="2"/>
  <c r="T677" i="2" s="1"/>
  <c r="U673" i="2"/>
  <c r="T673" i="2" s="1"/>
  <c r="U662" i="2"/>
  <c r="T662" i="2" s="1"/>
  <c r="U653" i="2"/>
  <c r="T653" i="2" s="1"/>
  <c r="U646" i="2"/>
  <c r="T646" i="2" s="1"/>
  <c r="U636" i="2"/>
  <c r="T636" i="2" s="1"/>
  <c r="U631" i="2"/>
  <c r="T631" i="2" s="1"/>
  <c r="U606" i="2"/>
  <c r="T606" i="2" s="1"/>
  <c r="U604" i="2"/>
  <c r="T604" i="2" s="1"/>
  <c r="U602" i="2"/>
  <c r="T602" i="2" s="1"/>
  <c r="U600" i="2"/>
  <c r="T600" i="2" s="1"/>
  <c r="U574" i="2"/>
  <c r="T574" i="2" s="1"/>
  <c r="U572" i="2"/>
  <c r="T572" i="2" s="1"/>
  <c r="U553" i="2"/>
  <c r="T553" i="2" s="1"/>
  <c r="U551" i="2"/>
  <c r="T551" i="2" s="1"/>
  <c r="U536" i="2"/>
  <c r="T536" i="2" s="1"/>
  <c r="U534" i="2"/>
  <c r="T534" i="2" s="1"/>
  <c r="U1000" i="2"/>
  <c r="T1000" i="2" s="1"/>
  <c r="U764" i="2"/>
  <c r="T764" i="2" s="1"/>
  <c r="U716" i="2"/>
  <c r="T716" i="2" s="1"/>
  <c r="U712" i="2"/>
  <c r="T712" i="2" s="1"/>
  <c r="U666" i="2"/>
  <c r="T666" i="2" s="1"/>
  <c r="U774" i="2"/>
  <c r="T774" i="2" s="1"/>
  <c r="U758" i="2"/>
  <c r="T758" i="2" s="1"/>
  <c r="U694" i="2"/>
  <c r="T694" i="2" s="1"/>
  <c r="U650" i="2"/>
  <c r="T650" i="2" s="1"/>
  <c r="U638" i="2"/>
  <c r="T638" i="2" s="1"/>
  <c r="U633" i="2"/>
  <c r="T633" i="2" s="1"/>
  <c r="U619" i="2"/>
  <c r="T619" i="2" s="1"/>
  <c r="U617" i="2"/>
  <c r="T617" i="2" s="1"/>
  <c r="U615" i="2"/>
  <c r="T615" i="2" s="1"/>
  <c r="U594" i="2"/>
  <c r="T594" i="2" s="1"/>
  <c r="U592" i="2"/>
  <c r="T592" i="2" s="1"/>
  <c r="U579" i="2"/>
  <c r="T579" i="2" s="1"/>
  <c r="U564" i="2"/>
  <c r="T564" i="2" s="1"/>
  <c r="U528" i="2"/>
  <c r="T528" i="2" s="1"/>
  <c r="U526" i="2"/>
  <c r="T526" i="2" s="1"/>
  <c r="U524" i="2"/>
  <c r="T524" i="2" s="1"/>
  <c r="U484" i="2"/>
  <c r="T484" i="2" s="1"/>
  <c r="U768" i="2"/>
  <c r="T768" i="2" s="1"/>
  <c r="U752" i="2"/>
  <c r="T752" i="2" s="1"/>
  <c r="U737" i="2"/>
  <c r="T737" i="2" s="1"/>
  <c r="U733" i="2"/>
  <c r="T733" i="2" s="1"/>
  <c r="U729" i="2"/>
  <c r="T729" i="2" s="1"/>
  <c r="U701" i="2"/>
  <c r="T701" i="2" s="1"/>
  <c r="U652" i="2"/>
  <c r="T652" i="2" s="1"/>
  <c r="U611" i="2"/>
  <c r="T611" i="2" s="1"/>
  <c r="U609" i="2"/>
  <c r="T609" i="2" s="1"/>
  <c r="U590" i="2"/>
  <c r="T590" i="2" s="1"/>
  <c r="U588" i="2"/>
  <c r="T588" i="2" s="1"/>
  <c r="U583" i="2"/>
  <c r="T583" i="2" s="1"/>
  <c r="U573" i="2"/>
  <c r="T573" i="2" s="1"/>
  <c r="U556" i="2"/>
  <c r="T556" i="2" s="1"/>
  <c r="U545" i="2"/>
  <c r="T545" i="2" s="1"/>
  <c r="U537" i="2"/>
  <c r="T537" i="2" s="1"/>
  <c r="U515" i="2"/>
  <c r="T515" i="2" s="1"/>
  <c r="U495" i="2"/>
  <c r="T495" i="2" s="1"/>
  <c r="U493" i="2"/>
  <c r="T493" i="2" s="1"/>
  <c r="U491" i="2"/>
  <c r="T491" i="2" s="1"/>
  <c r="U489" i="2"/>
  <c r="T489" i="2" s="1"/>
  <c r="U487" i="2"/>
  <c r="T487" i="2" s="1"/>
  <c r="U478" i="2"/>
  <c r="T478" i="2" s="1"/>
  <c r="U664" i="2"/>
  <c r="T664" i="2" s="1"/>
  <c r="U596" i="2"/>
  <c r="T596" i="2" s="1"/>
  <c r="U520" i="2"/>
  <c r="T520" i="2" s="1"/>
  <c r="U504" i="2"/>
  <c r="T504" i="2" s="1"/>
  <c r="U468" i="2"/>
  <c r="T468" i="2" s="1"/>
  <c r="U547" i="2"/>
  <c r="T547" i="2" s="1"/>
  <c r="U539" i="2"/>
  <c r="T539" i="2" s="1"/>
  <c r="U533" i="2"/>
  <c r="T533" i="2" s="1"/>
  <c r="U517" i="2"/>
  <c r="T517" i="2" s="1"/>
  <c r="U510" i="2"/>
  <c r="T510" i="2" s="1"/>
  <c r="U507" i="2"/>
  <c r="T507" i="2" s="1"/>
  <c r="U473" i="2"/>
  <c r="T473" i="2" s="1"/>
  <c r="U464" i="2"/>
  <c r="T464" i="2" s="1"/>
  <c r="U462" i="2"/>
  <c r="T462" i="2" s="1"/>
  <c r="U571" i="2"/>
  <c r="T571" i="2" s="1"/>
  <c r="U568" i="2"/>
  <c r="T568" i="2" s="1"/>
  <c r="U558" i="2"/>
  <c r="T558" i="2" s="1"/>
  <c r="U552" i="2"/>
  <c r="T552" i="2" s="1"/>
  <c r="U482" i="2"/>
  <c r="T482" i="2" s="1"/>
  <c r="U477" i="2"/>
  <c r="T477" i="2" s="1"/>
  <c r="U471" i="2"/>
  <c r="T471" i="2" s="1"/>
  <c r="U454" i="2"/>
  <c r="T454" i="2" s="1"/>
  <c r="U452" i="2"/>
  <c r="T452" i="2" s="1"/>
  <c r="U450" i="2"/>
  <c r="T450" i="2" s="1"/>
  <c r="U425" i="2"/>
  <c r="T425" i="2" s="1"/>
  <c r="U403" i="2"/>
  <c r="T403" i="2" s="1"/>
  <c r="U401" i="2"/>
  <c r="T401" i="2" s="1"/>
  <c r="U399" i="2"/>
  <c r="T399" i="2" s="1"/>
  <c r="U379" i="2"/>
  <c r="T379" i="2" s="1"/>
  <c r="U377" i="2"/>
  <c r="T377" i="2" s="1"/>
  <c r="U375" i="2"/>
  <c r="T375" i="2" s="1"/>
  <c r="U373" i="2"/>
  <c r="T373" i="2" s="1"/>
  <c r="U371" i="2"/>
  <c r="T371" i="2" s="1"/>
  <c r="U369" i="2"/>
  <c r="T369" i="2" s="1"/>
  <c r="U367" i="2"/>
  <c r="T367" i="2" s="1"/>
  <c r="U365" i="2"/>
  <c r="T365" i="2" s="1"/>
  <c r="U581" i="2"/>
  <c r="T581" i="2" s="1"/>
  <c r="U549" i="2"/>
  <c r="T549" i="2" s="1"/>
  <c r="U506" i="2"/>
  <c r="T506" i="2" s="1"/>
  <c r="U503" i="2"/>
  <c r="T503" i="2" s="1"/>
  <c r="U496" i="2"/>
  <c r="T496" i="2" s="1"/>
  <c r="U494" i="2"/>
  <c r="T494" i="2" s="1"/>
  <c r="U492" i="2"/>
  <c r="T492" i="2" s="1"/>
  <c r="U490" i="2"/>
  <c r="T490" i="2" s="1"/>
  <c r="U488" i="2"/>
  <c r="T488" i="2" s="1"/>
  <c r="U446" i="2"/>
  <c r="T446" i="2" s="1"/>
  <c r="U444" i="2"/>
  <c r="T444" i="2" s="1"/>
  <c r="U442" i="2"/>
  <c r="T442" i="2" s="1"/>
  <c r="U440" i="2"/>
  <c r="T440" i="2" s="1"/>
  <c r="U421" i="2"/>
  <c r="T421" i="2" s="1"/>
  <c r="U414" i="2"/>
  <c r="T414" i="2" s="1"/>
  <c r="U412" i="2"/>
  <c r="T412" i="2" s="1"/>
  <c r="U410" i="2"/>
  <c r="T410" i="2" s="1"/>
  <c r="U408" i="2"/>
  <c r="T408" i="2" s="1"/>
  <c r="U395" i="2"/>
  <c r="T395" i="2" s="1"/>
  <c r="U384" i="2"/>
  <c r="T384" i="2" s="1"/>
  <c r="U363" i="2"/>
  <c r="T363" i="2" s="1"/>
  <c r="U352" i="2"/>
  <c r="T352" i="2" s="1"/>
  <c r="U350" i="2"/>
  <c r="T350" i="2" s="1"/>
  <c r="U348" i="2"/>
  <c r="T348" i="2" s="1"/>
  <c r="U335" i="2"/>
  <c r="T335" i="2" s="1"/>
  <c r="U307" i="2"/>
  <c r="T307" i="2" s="1"/>
  <c r="U300" i="2"/>
  <c r="T300" i="2" s="1"/>
  <c r="U648" i="2"/>
  <c r="T648" i="2" s="1"/>
  <c r="U575" i="2"/>
  <c r="T575" i="2" s="1"/>
  <c r="U557" i="2"/>
  <c r="T557" i="2" s="1"/>
  <c r="U535" i="2"/>
  <c r="T535" i="2" s="1"/>
  <c r="U532" i="2"/>
  <c r="T532" i="2" s="1"/>
  <c r="U516" i="2"/>
  <c r="T516" i="2" s="1"/>
  <c r="U509" i="2"/>
  <c r="T509" i="2" s="1"/>
  <c r="U500" i="2"/>
  <c r="T500" i="2" s="1"/>
  <c r="U498" i="2"/>
  <c r="T498" i="2" s="1"/>
  <c r="U479" i="2"/>
  <c r="T479" i="2" s="1"/>
  <c r="U467" i="2"/>
  <c r="T467" i="2" s="1"/>
  <c r="U657" i="2"/>
  <c r="T657" i="2" s="1"/>
  <c r="U598" i="2"/>
  <c r="T598" i="2" s="1"/>
  <c r="U554" i="2"/>
  <c r="T554" i="2" s="1"/>
  <c r="U521" i="2"/>
  <c r="T521" i="2" s="1"/>
  <c r="U502" i="2"/>
  <c r="T502" i="2" s="1"/>
  <c r="U481" i="2"/>
  <c r="T481" i="2" s="1"/>
  <c r="U476" i="2"/>
  <c r="T476" i="2" s="1"/>
  <c r="U474" i="2"/>
  <c r="T474" i="2" s="1"/>
  <c r="U465" i="2"/>
  <c r="T465" i="2" s="1"/>
  <c r="U463" i="2"/>
  <c r="T463" i="2" s="1"/>
  <c r="U461" i="2"/>
  <c r="T461" i="2" s="1"/>
  <c r="U459" i="2"/>
  <c r="T459" i="2" s="1"/>
  <c r="U457" i="2"/>
  <c r="T457" i="2" s="1"/>
  <c r="U436" i="2"/>
  <c r="T436" i="2" s="1"/>
  <c r="U434" i="2"/>
  <c r="T434" i="2" s="1"/>
  <c r="U432" i="2"/>
  <c r="T432" i="2" s="1"/>
  <c r="U430" i="2"/>
  <c r="T430" i="2" s="1"/>
  <c r="U428" i="2"/>
  <c r="T428" i="2" s="1"/>
  <c r="U389" i="2"/>
  <c r="T389" i="2" s="1"/>
  <c r="U560" i="2"/>
  <c r="T560" i="2" s="1"/>
  <c r="U540" i="2"/>
  <c r="T540" i="2" s="1"/>
  <c r="U518" i="2"/>
  <c r="T518" i="2" s="1"/>
  <c r="U508" i="2"/>
  <c r="T508" i="2" s="1"/>
  <c r="U505" i="2"/>
  <c r="T505" i="2" s="1"/>
  <c r="U455" i="2"/>
  <c r="T455" i="2" s="1"/>
  <c r="U453" i="2"/>
  <c r="T453" i="2" s="1"/>
  <c r="U451" i="2"/>
  <c r="T451" i="2" s="1"/>
  <c r="U449" i="2"/>
  <c r="T449" i="2" s="1"/>
  <c r="U426" i="2"/>
  <c r="T426" i="2" s="1"/>
  <c r="U424" i="2"/>
  <c r="T424" i="2" s="1"/>
  <c r="U402" i="2"/>
  <c r="T402" i="2" s="1"/>
  <c r="U400" i="2"/>
  <c r="T400" i="2" s="1"/>
  <c r="U398" i="2"/>
  <c r="T398" i="2" s="1"/>
  <c r="U378" i="2"/>
  <c r="T378" i="2" s="1"/>
  <c r="U376" i="2"/>
  <c r="T376" i="2" s="1"/>
  <c r="U374" i="2"/>
  <c r="T374" i="2" s="1"/>
  <c r="U372" i="2"/>
  <c r="T372" i="2" s="1"/>
  <c r="U370" i="2"/>
  <c r="T370" i="2" s="1"/>
  <c r="U368" i="2"/>
  <c r="T368" i="2" s="1"/>
  <c r="U366" i="2"/>
  <c r="T366" i="2" s="1"/>
  <c r="U355" i="2"/>
  <c r="T355" i="2" s="1"/>
  <c r="U342" i="2"/>
  <c r="T342" i="2" s="1"/>
  <c r="U340" i="2"/>
  <c r="T340" i="2" s="1"/>
  <c r="U338" i="2"/>
  <c r="T338" i="2" s="1"/>
  <c r="U331" i="2"/>
  <c r="T331" i="2" s="1"/>
  <c r="U329" i="2"/>
  <c r="T329" i="2" s="1"/>
  <c r="U327" i="2"/>
  <c r="T327" i="2" s="1"/>
  <c r="U325" i="2"/>
  <c r="T325" i="2" s="1"/>
  <c r="U458" i="2"/>
  <c r="T458" i="2" s="1"/>
  <c r="U431" i="2"/>
  <c r="T431" i="2" s="1"/>
  <c r="U396" i="2"/>
  <c r="T396" i="2" s="1"/>
  <c r="U382" i="2"/>
  <c r="T382" i="2" s="1"/>
  <c r="U357" i="2"/>
  <c r="T357" i="2" s="1"/>
  <c r="U353" i="2"/>
  <c r="T353" i="2" s="1"/>
  <c r="U337" i="2"/>
  <c r="T337" i="2" s="1"/>
  <c r="U317" i="2"/>
  <c r="T317" i="2" s="1"/>
  <c r="U295" i="2"/>
  <c r="T295" i="2" s="1"/>
  <c r="U293" i="2"/>
  <c r="T293" i="2" s="1"/>
  <c r="U280" i="2"/>
  <c r="T280" i="2" s="1"/>
  <c r="U278" i="2"/>
  <c r="T278" i="2" s="1"/>
  <c r="U276" i="2"/>
  <c r="T276" i="2" s="1"/>
  <c r="U274" i="2"/>
  <c r="T274" i="2" s="1"/>
  <c r="U272" i="2"/>
  <c r="T272" i="2" s="1"/>
  <c r="U270" i="2"/>
  <c r="T270" i="2" s="1"/>
  <c r="U268" i="2"/>
  <c r="T268" i="2" s="1"/>
  <c r="U251" i="2"/>
  <c r="T251" i="2" s="1"/>
  <c r="U240" i="2"/>
  <c r="T240" i="2" s="1"/>
  <c r="U238" i="2"/>
  <c r="T238" i="2" s="1"/>
  <c r="U236" i="2"/>
  <c r="T236" i="2" s="1"/>
  <c r="U219" i="2"/>
  <c r="T219" i="2" s="1"/>
  <c r="U217" i="2"/>
  <c r="T217" i="2" s="1"/>
  <c r="U204" i="2"/>
  <c r="T204" i="2" s="1"/>
  <c r="U202" i="2"/>
  <c r="T202" i="2" s="1"/>
  <c r="U200" i="2"/>
  <c r="T200" i="2" s="1"/>
  <c r="U198" i="2"/>
  <c r="T198" i="2" s="1"/>
  <c r="U196" i="2"/>
  <c r="T196" i="2" s="1"/>
  <c r="U194" i="2"/>
  <c r="T194" i="2" s="1"/>
  <c r="U192" i="2"/>
  <c r="T192" i="2" s="1"/>
  <c r="U190" i="2"/>
  <c r="T190" i="2" s="1"/>
  <c r="U188" i="2"/>
  <c r="T188" i="2" s="1"/>
  <c r="U118" i="2"/>
  <c r="T118" i="2" s="1"/>
  <c r="U107" i="2"/>
  <c r="T107" i="2" s="1"/>
  <c r="U105" i="2"/>
  <c r="T105" i="2" s="1"/>
  <c r="U98" i="2"/>
  <c r="T98" i="2" s="1"/>
  <c r="U96" i="2"/>
  <c r="T96" i="2" s="1"/>
  <c r="U94" i="2"/>
  <c r="T94" i="2" s="1"/>
  <c r="U92" i="2"/>
  <c r="T92" i="2" s="1"/>
  <c r="U90" i="2"/>
  <c r="T90" i="2" s="1"/>
  <c r="U88" i="2"/>
  <c r="T88" i="2" s="1"/>
  <c r="U86" i="2"/>
  <c r="T86" i="2" s="1"/>
  <c r="U75" i="2"/>
  <c r="T75" i="2" s="1"/>
  <c r="U73" i="2"/>
  <c r="T73" i="2" s="1"/>
  <c r="U60" i="2"/>
  <c r="T60" i="2" s="1"/>
  <c r="U49" i="2"/>
  <c r="T49" i="2" s="1"/>
  <c r="U437" i="2"/>
  <c r="T437" i="2" s="1"/>
  <c r="U385" i="2"/>
  <c r="T385" i="2" s="1"/>
  <c r="U359" i="2"/>
  <c r="T359" i="2" s="1"/>
  <c r="U339" i="2"/>
  <c r="T339" i="2" s="1"/>
  <c r="U324" i="2"/>
  <c r="T324" i="2" s="1"/>
  <c r="U291" i="2"/>
  <c r="T291" i="2" s="1"/>
  <c r="U264" i="2"/>
  <c r="T264" i="2" s="1"/>
  <c r="U184" i="2"/>
  <c r="T184" i="2" s="1"/>
  <c r="U182" i="2"/>
  <c r="T182" i="2" s="1"/>
  <c r="U169" i="2"/>
  <c r="T169" i="2" s="1"/>
  <c r="U167" i="2"/>
  <c r="T167" i="2" s="1"/>
  <c r="U165" i="2"/>
  <c r="T165" i="2" s="1"/>
  <c r="U158" i="2"/>
  <c r="T158" i="2" s="1"/>
  <c r="U84" i="2"/>
  <c r="T84" i="2" s="1"/>
  <c r="U71" i="2"/>
  <c r="T71" i="2" s="1"/>
  <c r="U69" i="2"/>
  <c r="T69" i="2" s="1"/>
  <c r="U67" i="2"/>
  <c r="T67" i="2" s="1"/>
  <c r="U45" i="2"/>
  <c r="T45" i="2" s="1"/>
  <c r="U43" i="2"/>
  <c r="T43" i="2" s="1"/>
  <c r="U41" i="2"/>
  <c r="T41" i="2" s="1"/>
  <c r="U39" i="2"/>
  <c r="T39" i="2" s="1"/>
  <c r="U37" i="2"/>
  <c r="T37" i="2" s="1"/>
  <c r="U30" i="2"/>
  <c r="T30" i="2" s="1"/>
  <c r="U17" i="2"/>
  <c r="T17" i="2" s="1"/>
  <c r="U15" i="2"/>
  <c r="T15" i="2" s="1"/>
  <c r="U13" i="2"/>
  <c r="T13" i="2" s="1"/>
  <c r="U11" i="2"/>
  <c r="T11" i="2" s="1"/>
  <c r="U56" i="2"/>
  <c r="T56" i="2" s="1"/>
  <c r="U24" i="2"/>
  <c r="T24" i="2" s="1"/>
  <c r="U447" i="2"/>
  <c r="T447" i="2" s="1"/>
  <c r="U443" i="2"/>
  <c r="T443" i="2" s="1"/>
  <c r="U413" i="2"/>
  <c r="T413" i="2" s="1"/>
  <c r="U409" i="2"/>
  <c r="T409" i="2" s="1"/>
  <c r="U392" i="2"/>
  <c r="T392" i="2" s="1"/>
  <c r="U361" i="2"/>
  <c r="T361" i="2" s="1"/>
  <c r="U347" i="2"/>
  <c r="T347" i="2" s="1"/>
  <c r="U345" i="2"/>
  <c r="T345" i="2" s="1"/>
  <c r="U341" i="2"/>
  <c r="T341" i="2" s="1"/>
  <c r="U326" i="2"/>
  <c r="T326" i="2" s="1"/>
  <c r="U262" i="2"/>
  <c r="T262" i="2" s="1"/>
  <c r="U260" i="2"/>
  <c r="T260" i="2" s="1"/>
  <c r="U247" i="2"/>
  <c r="T247" i="2" s="1"/>
  <c r="U224" i="2"/>
  <c r="T224" i="2" s="1"/>
  <c r="U213" i="2"/>
  <c r="T213" i="2" s="1"/>
  <c r="U211" i="2"/>
  <c r="T211" i="2" s="1"/>
  <c r="U209" i="2"/>
  <c r="T209" i="2" s="1"/>
  <c r="U156" i="2"/>
  <c r="T156" i="2" s="1"/>
  <c r="U154" i="2"/>
  <c r="T154" i="2" s="1"/>
  <c r="U145" i="2"/>
  <c r="T145" i="2" s="1"/>
  <c r="U143" i="2"/>
  <c r="T143" i="2" s="1"/>
  <c r="U141" i="2"/>
  <c r="T141" i="2" s="1"/>
  <c r="U139" i="2"/>
  <c r="T139" i="2" s="1"/>
  <c r="U137" i="2"/>
  <c r="T137" i="2" s="1"/>
  <c r="U135" i="2"/>
  <c r="T135" i="2" s="1"/>
  <c r="U133" i="2"/>
  <c r="T133" i="2" s="1"/>
  <c r="U131" i="2"/>
  <c r="T131" i="2" s="1"/>
  <c r="U101" i="2"/>
  <c r="T101" i="2" s="1"/>
  <c r="U26" i="2"/>
  <c r="T26" i="2" s="1"/>
  <c r="U20" i="2"/>
  <c r="T20" i="2" s="1"/>
  <c r="U460" i="2"/>
  <c r="T460" i="2" s="1"/>
  <c r="U433" i="2"/>
  <c r="T433" i="2" s="1"/>
  <c r="U420" i="2"/>
  <c r="T420" i="2" s="1"/>
  <c r="U328" i="2"/>
  <c r="T328" i="2" s="1"/>
  <c r="U298" i="2"/>
  <c r="T298" i="2" s="1"/>
  <c r="U287" i="2"/>
  <c r="T287" i="2" s="1"/>
  <c r="U285" i="2"/>
  <c r="T285" i="2" s="1"/>
  <c r="U283" i="2"/>
  <c r="T283" i="2" s="1"/>
  <c r="U258" i="2"/>
  <c r="T258" i="2" s="1"/>
  <c r="U256" i="2"/>
  <c r="T256" i="2" s="1"/>
  <c r="U254" i="2"/>
  <c r="T254" i="2" s="1"/>
  <c r="U243" i="2"/>
  <c r="T243" i="2" s="1"/>
  <c r="U207" i="2"/>
  <c r="T207" i="2" s="1"/>
  <c r="U178" i="2"/>
  <c r="T178" i="2" s="1"/>
  <c r="U176" i="2"/>
  <c r="T176" i="2" s="1"/>
  <c r="U174" i="2"/>
  <c r="T174" i="2" s="1"/>
  <c r="U152" i="2"/>
  <c r="T152" i="2" s="1"/>
  <c r="U127" i="2"/>
  <c r="T127" i="2" s="1"/>
  <c r="U125" i="2"/>
  <c r="T125" i="2" s="1"/>
  <c r="U123" i="2"/>
  <c r="T123" i="2" s="1"/>
  <c r="U121" i="2"/>
  <c r="T121" i="2" s="1"/>
  <c r="U114" i="2"/>
  <c r="T114" i="2" s="1"/>
  <c r="U112" i="2"/>
  <c r="T112" i="2" s="1"/>
  <c r="U110" i="2"/>
  <c r="T110" i="2" s="1"/>
  <c r="U78" i="2"/>
  <c r="T78" i="2" s="1"/>
  <c r="U63" i="2"/>
  <c r="T63" i="2" s="1"/>
  <c r="U52" i="2"/>
  <c r="T52" i="2" s="1"/>
  <c r="U97" i="2"/>
  <c r="T97" i="2" s="1"/>
  <c r="U93" i="2"/>
  <c r="T93" i="2" s="1"/>
  <c r="U89" i="2"/>
  <c r="T89" i="2" s="1"/>
  <c r="U87" i="2"/>
  <c r="T87" i="2" s="1"/>
  <c r="U50" i="2"/>
  <c r="T50" i="2" s="1"/>
  <c r="U391" i="2"/>
  <c r="T391" i="2" s="1"/>
  <c r="U349" i="2"/>
  <c r="T349" i="2" s="1"/>
  <c r="U330" i="2"/>
  <c r="T330" i="2" s="1"/>
  <c r="U318" i="2"/>
  <c r="T318" i="2" s="1"/>
  <c r="U294" i="2"/>
  <c r="T294" i="2" s="1"/>
  <c r="U281" i="2"/>
  <c r="T281" i="2" s="1"/>
  <c r="U279" i="2"/>
  <c r="T279" i="2" s="1"/>
  <c r="U277" i="2"/>
  <c r="T277" i="2" s="1"/>
  <c r="U275" i="2"/>
  <c r="T275" i="2" s="1"/>
  <c r="U273" i="2"/>
  <c r="T273" i="2" s="1"/>
  <c r="U271" i="2"/>
  <c r="T271" i="2" s="1"/>
  <c r="U269" i="2"/>
  <c r="T269" i="2" s="1"/>
  <c r="U267" i="2"/>
  <c r="T267" i="2" s="1"/>
  <c r="U241" i="2"/>
  <c r="T241" i="2" s="1"/>
  <c r="U239" i="2"/>
  <c r="T239" i="2" s="1"/>
  <c r="U237" i="2"/>
  <c r="T237" i="2" s="1"/>
  <c r="U220" i="2"/>
  <c r="T220" i="2" s="1"/>
  <c r="U218" i="2"/>
  <c r="T218" i="2" s="1"/>
  <c r="U216" i="2"/>
  <c r="T216" i="2" s="1"/>
  <c r="U205" i="2"/>
  <c r="T205" i="2" s="1"/>
  <c r="U203" i="2"/>
  <c r="T203" i="2" s="1"/>
  <c r="U201" i="2"/>
  <c r="T201" i="2" s="1"/>
  <c r="U199" i="2"/>
  <c r="T199" i="2" s="1"/>
  <c r="U197" i="2"/>
  <c r="T197" i="2" s="1"/>
  <c r="U195" i="2"/>
  <c r="T195" i="2" s="1"/>
  <c r="U193" i="2"/>
  <c r="T193" i="2" s="1"/>
  <c r="U191" i="2"/>
  <c r="T191" i="2" s="1"/>
  <c r="U189" i="2"/>
  <c r="T189" i="2" s="1"/>
  <c r="U187" i="2"/>
  <c r="T187" i="2" s="1"/>
  <c r="U172" i="2"/>
  <c r="T172" i="2" s="1"/>
  <c r="U119" i="2"/>
  <c r="T119" i="2" s="1"/>
  <c r="U106" i="2"/>
  <c r="T106" i="2" s="1"/>
  <c r="U95" i="2"/>
  <c r="T95" i="2" s="1"/>
  <c r="U91" i="2"/>
  <c r="T91" i="2" s="1"/>
  <c r="U74" i="2"/>
  <c r="T74" i="2" s="1"/>
  <c r="U48" i="2"/>
  <c r="T48" i="2" s="1"/>
  <c r="U429" i="2"/>
  <c r="T429" i="2" s="1"/>
  <c r="U358" i="2"/>
  <c r="T358" i="2" s="1"/>
  <c r="U323" i="2"/>
  <c r="T323" i="2" s="1"/>
  <c r="U265" i="2"/>
  <c r="T265" i="2" s="1"/>
  <c r="U185" i="2"/>
  <c r="T185" i="2" s="1"/>
  <c r="U183" i="2"/>
  <c r="T183" i="2" s="1"/>
  <c r="U181" i="2"/>
  <c r="T181" i="2" s="1"/>
  <c r="U170" i="2"/>
  <c r="T170" i="2" s="1"/>
  <c r="U168" i="2"/>
  <c r="T168" i="2" s="1"/>
  <c r="U166" i="2"/>
  <c r="T166" i="2" s="1"/>
  <c r="U159" i="2"/>
  <c r="T159" i="2" s="1"/>
  <c r="U148" i="2"/>
  <c r="T148" i="2" s="1"/>
  <c r="U85" i="2"/>
  <c r="T85" i="2" s="1"/>
  <c r="U83" i="2"/>
  <c r="T83" i="2" s="1"/>
  <c r="U70" i="2"/>
  <c r="T70" i="2" s="1"/>
  <c r="U68" i="2"/>
  <c r="T68" i="2" s="1"/>
  <c r="U66" i="2"/>
  <c r="T66" i="2" s="1"/>
  <c r="U46" i="2"/>
  <c r="T46" i="2" s="1"/>
  <c r="U44" i="2"/>
  <c r="T44" i="2" s="1"/>
  <c r="U42" i="2"/>
  <c r="T42" i="2" s="1"/>
  <c r="U40" i="2"/>
  <c r="T40" i="2" s="1"/>
  <c r="U38" i="2"/>
  <c r="T38" i="2" s="1"/>
  <c r="U31" i="2"/>
  <c r="T31" i="2" s="1"/>
  <c r="U29" i="2"/>
  <c r="T29" i="2" s="1"/>
  <c r="U16" i="2"/>
  <c r="T16" i="2" s="1"/>
  <c r="U14" i="2"/>
  <c r="T14" i="2" s="1"/>
  <c r="U12" i="2"/>
  <c r="T12" i="2" s="1"/>
  <c r="U34" i="2"/>
  <c r="T34" i="2" s="1"/>
  <c r="U445" i="2"/>
  <c r="T445" i="2" s="1"/>
  <c r="U441" i="2"/>
  <c r="T441" i="2" s="1"/>
  <c r="U435" i="2"/>
  <c r="T435" i="2" s="1"/>
  <c r="U415" i="2"/>
  <c r="T415" i="2" s="1"/>
  <c r="U411" i="2"/>
  <c r="T411" i="2" s="1"/>
  <c r="U407" i="2"/>
  <c r="T407" i="2" s="1"/>
  <c r="U388" i="2"/>
  <c r="T388" i="2" s="1"/>
  <c r="U351" i="2"/>
  <c r="T351" i="2" s="1"/>
  <c r="U305" i="2"/>
  <c r="T305" i="2" s="1"/>
  <c r="U303" i="2"/>
  <c r="T303" i="2" s="1"/>
  <c r="U261" i="2"/>
  <c r="T261" i="2" s="1"/>
  <c r="U248" i="2"/>
  <c r="T248" i="2" s="1"/>
  <c r="U246" i="2"/>
  <c r="T246" i="2" s="1"/>
  <c r="U225" i="2"/>
  <c r="T225" i="2" s="1"/>
  <c r="U223" i="2"/>
  <c r="T223" i="2" s="1"/>
  <c r="U212" i="2"/>
  <c r="T212" i="2" s="1"/>
  <c r="U210" i="2"/>
  <c r="T210" i="2" s="1"/>
  <c r="U155" i="2"/>
  <c r="T155" i="2" s="1"/>
  <c r="U146" i="2"/>
  <c r="T146" i="2" s="1"/>
  <c r="U144" i="2"/>
  <c r="T144" i="2" s="1"/>
  <c r="U142" i="2"/>
  <c r="T142" i="2" s="1"/>
  <c r="U140" i="2"/>
  <c r="T140" i="2" s="1"/>
  <c r="U138" i="2"/>
  <c r="T138" i="2" s="1"/>
  <c r="U136" i="2"/>
  <c r="T136" i="2" s="1"/>
  <c r="U134" i="2"/>
  <c r="T134" i="2" s="1"/>
  <c r="U132" i="2"/>
  <c r="T132" i="2" s="1"/>
  <c r="U130" i="2"/>
  <c r="T130" i="2" s="1"/>
  <c r="U102" i="2"/>
  <c r="T102" i="2" s="1"/>
  <c r="U81" i="2"/>
  <c r="T81" i="2" s="1"/>
  <c r="U57" i="2"/>
  <c r="T57" i="2" s="1"/>
  <c r="U55" i="2"/>
  <c r="T55" i="2" s="1"/>
  <c r="U27" i="2"/>
  <c r="T27" i="2" s="1"/>
  <c r="U25" i="2"/>
  <c r="T25" i="2" s="1"/>
  <c r="U23" i="2"/>
  <c r="T23" i="2" s="1"/>
  <c r="U77" i="2"/>
  <c r="T77" i="2" s="1"/>
  <c r="U62" i="2"/>
  <c r="T62" i="2" s="1"/>
  <c r="U53" i="2"/>
  <c r="T53" i="2" s="1"/>
  <c r="U422" i="2"/>
  <c r="T422" i="2" s="1"/>
  <c r="U393" i="2"/>
  <c r="T393" i="2" s="1"/>
  <c r="U297" i="2"/>
  <c r="T297" i="2" s="1"/>
  <c r="U288" i="2"/>
  <c r="T288" i="2" s="1"/>
  <c r="U286" i="2"/>
  <c r="T286" i="2" s="1"/>
  <c r="U284" i="2"/>
  <c r="T284" i="2" s="1"/>
  <c r="U257" i="2"/>
  <c r="T257" i="2" s="1"/>
  <c r="U255" i="2"/>
  <c r="T255" i="2" s="1"/>
  <c r="U253" i="2"/>
  <c r="T253" i="2" s="1"/>
  <c r="U244" i="2"/>
  <c r="T244" i="2" s="1"/>
  <c r="U177" i="2"/>
  <c r="T177" i="2" s="1"/>
  <c r="U175" i="2"/>
  <c r="T175" i="2" s="1"/>
  <c r="U162" i="2"/>
  <c r="T162" i="2" s="1"/>
  <c r="U151" i="2"/>
  <c r="T151" i="2" s="1"/>
  <c r="U128" i="2"/>
  <c r="T128" i="2" s="1"/>
  <c r="U126" i="2"/>
  <c r="T126" i="2" s="1"/>
  <c r="U124" i="2"/>
  <c r="T124" i="2" s="1"/>
  <c r="U122" i="2"/>
  <c r="T122" i="2" s="1"/>
  <c r="U113" i="2"/>
  <c r="T113" i="2" s="1"/>
  <c r="U111" i="2"/>
  <c r="T111" i="2" s="1"/>
  <c r="U109" i="2"/>
  <c r="T109" i="2" s="1"/>
  <c r="U79" i="2"/>
  <c r="T79" i="2" s="1"/>
  <c r="U19" i="2"/>
  <c r="T19" i="2" s="1"/>
  <c r="U10" i="2"/>
  <c r="T10" i="2" s="1"/>
  <c r="I33" i="38"/>
  <c r="I29" i="38"/>
  <c r="J29" i="38"/>
  <c r="K29" i="38"/>
  <c r="L29" i="38"/>
  <c r="M29" i="38"/>
  <c r="N29" i="38"/>
  <c r="I30" i="38"/>
  <c r="J30" i="38"/>
  <c r="K30" i="38"/>
  <c r="L30" i="38"/>
  <c r="M30" i="38"/>
  <c r="N30" i="38"/>
  <c r="I31" i="38"/>
  <c r="J31" i="38"/>
  <c r="K31" i="38"/>
  <c r="L31" i="38"/>
  <c r="M31" i="38"/>
  <c r="N31" i="38"/>
  <c r="I32" i="38"/>
  <c r="J32" i="38"/>
  <c r="K32" i="38"/>
  <c r="L32" i="38"/>
  <c r="M32" i="38"/>
  <c r="N32" i="38"/>
  <c r="F14" i="32" l="1"/>
  <c r="F17" i="32" s="1"/>
  <c r="C16" i="17"/>
  <c r="N42" i="18" l="1"/>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6" i="18"/>
  <c r="M36" i="18"/>
  <c r="L36" i="18"/>
  <c r="K36" i="18"/>
  <c r="J36" i="18"/>
  <c r="I36" i="18"/>
  <c r="N35" i="18"/>
  <c r="M35" i="18"/>
  <c r="L35" i="18"/>
  <c r="K35" i="18"/>
  <c r="J35" i="18"/>
  <c r="I35" i="18"/>
  <c r="N33" i="38"/>
  <c r="M33" i="38"/>
  <c r="L33" i="38"/>
  <c r="K33" i="38"/>
  <c r="J33" i="38"/>
  <c r="J34" i="38" l="1"/>
  <c r="I34" i="38"/>
  <c r="M34" i="38"/>
  <c r="L34" i="38"/>
  <c r="I43" i="18"/>
  <c r="N43" i="18"/>
  <c r="M43" i="18"/>
  <c r="N25" i="38"/>
  <c r="M25" i="38"/>
  <c r="L25" i="38"/>
  <c r="K25" i="38"/>
  <c r="J25" i="38"/>
  <c r="I25" i="38"/>
  <c r="B8" i="38"/>
  <c r="A8" i="38"/>
  <c r="B7" i="38"/>
  <c r="A7" i="38"/>
  <c r="B6" i="38"/>
  <c r="A6" i="38"/>
  <c r="B5" i="38"/>
  <c r="A5" i="38"/>
  <c r="B4" i="38"/>
  <c r="A4" i="38"/>
  <c r="B3" i="38"/>
  <c r="A3" i="38"/>
  <c r="E166" i="35"/>
  <c r="C7" i="2"/>
  <c r="C6" i="2"/>
  <c r="C5" i="2"/>
  <c r="C3" i="2"/>
  <c r="B4" i="2"/>
  <c r="B5" i="2"/>
  <c r="B6" i="2"/>
  <c r="B7" i="2"/>
  <c r="B3" i="2"/>
  <c r="B6" i="28"/>
  <c r="B5" i="28"/>
  <c r="B3" i="28"/>
  <c r="A8" i="36"/>
  <c r="A7" i="36"/>
  <c r="A6" i="36"/>
  <c r="A5" i="36"/>
  <c r="A4" i="36"/>
  <c r="A3" i="36"/>
  <c r="A8" i="35"/>
  <c r="A7" i="35"/>
  <c r="A6" i="35"/>
  <c r="A5" i="35"/>
  <c r="A4" i="35"/>
  <c r="A3" i="35"/>
  <c r="A8" i="31"/>
  <c r="A7" i="31"/>
  <c r="A6" i="31"/>
  <c r="A5" i="31"/>
  <c r="A4" i="31"/>
  <c r="A3" i="31"/>
  <c r="A8" i="18"/>
  <c r="A7" i="18"/>
  <c r="A6" i="18"/>
  <c r="A5" i="18"/>
  <c r="A4" i="18"/>
  <c r="A3" i="18"/>
  <c r="A8" i="17"/>
  <c r="A7" i="17"/>
  <c r="A6" i="17"/>
  <c r="A5" i="17"/>
  <c r="A4" i="17"/>
  <c r="A3" i="17"/>
  <c r="B4" i="37"/>
  <c r="B8" i="37"/>
  <c r="B7" i="37"/>
  <c r="B6" i="37"/>
  <c r="B5" i="37"/>
  <c r="B3" i="37"/>
  <c r="A8" i="37"/>
  <c r="A7" i="37"/>
  <c r="A6" i="37"/>
  <c r="A5" i="37"/>
  <c r="A4" i="37"/>
  <c r="A3" i="37"/>
  <c r="B8" i="5"/>
  <c r="B7" i="5"/>
  <c r="B6" i="5"/>
  <c r="B5" i="5"/>
  <c r="B4" i="5"/>
  <c r="B3" i="5"/>
  <c r="A8" i="5"/>
  <c r="A7" i="5"/>
  <c r="A6" i="5"/>
  <c r="A5" i="5"/>
  <c r="A4" i="5"/>
  <c r="A3" i="5"/>
  <c r="B8" i="36"/>
  <c r="B7" i="36"/>
  <c r="B6" i="36"/>
  <c r="B5" i="36"/>
  <c r="B3" i="36"/>
  <c r="B4" i="36"/>
  <c r="B4" i="31"/>
  <c r="B8" i="31"/>
  <c r="B7" i="31"/>
  <c r="B6" i="31"/>
  <c r="B5" i="31"/>
  <c r="B3" i="31"/>
  <c r="B4" i="35"/>
  <c r="A31" i="32" s="1"/>
  <c r="B4" i="32"/>
  <c r="B8" i="35"/>
  <c r="B7" i="35"/>
  <c r="B6" i="35"/>
  <c r="B5" i="35"/>
  <c r="B3" i="35"/>
  <c r="B8" i="17"/>
  <c r="B7" i="17"/>
  <c r="B6" i="17"/>
  <c r="B5" i="17"/>
  <c r="B3" i="17"/>
  <c r="B7" i="18"/>
  <c r="B6" i="18"/>
  <c r="B5" i="18"/>
  <c r="B3" i="18"/>
  <c r="N31" i="18"/>
  <c r="M31" i="18"/>
  <c r="L31" i="18"/>
  <c r="K31" i="18"/>
  <c r="J31" i="18"/>
  <c r="I31" i="18"/>
  <c r="B8" i="18"/>
  <c r="C4" i="2"/>
  <c r="B4" i="18"/>
  <c r="B4" i="17"/>
  <c r="B41" i="17"/>
  <c r="B47" i="17" s="1"/>
  <c r="B51" i="17" s="1"/>
  <c r="B52" i="17"/>
  <c r="J44" i="39" l="1"/>
  <c r="K44" i="39" s="1"/>
  <c r="Q40" i="37" s="1"/>
  <c r="J24" i="39"/>
  <c r="K24" i="39" s="1"/>
  <c r="Q20" i="37" s="1"/>
  <c r="J42" i="39"/>
  <c r="K42" i="39" s="1"/>
  <c r="Q38" i="37" s="1"/>
  <c r="J41" i="39"/>
  <c r="K41" i="39" s="1"/>
  <c r="Q37" i="37" s="1"/>
  <c r="J28" i="39"/>
  <c r="K28" i="39" s="1"/>
  <c r="Q24" i="37" s="1"/>
  <c r="J38" i="39"/>
  <c r="K38" i="39" s="1"/>
  <c r="Q34" i="37" s="1"/>
  <c r="J57" i="39"/>
  <c r="K57" i="39" s="1"/>
  <c r="Q53" i="37" s="1"/>
  <c r="J50" i="39"/>
  <c r="K50" i="39" s="1"/>
  <c r="Q46" i="37" s="1"/>
  <c r="J48" i="39"/>
  <c r="K48" i="39" s="1"/>
  <c r="Q44" i="37" s="1"/>
  <c r="J36" i="39"/>
  <c r="K36" i="39" s="1"/>
  <c r="Q32" i="37" s="1"/>
  <c r="J25" i="39"/>
  <c r="K25" i="39" s="1"/>
  <c r="Q21" i="37" s="1"/>
  <c r="J47" i="39"/>
  <c r="K47" i="39" s="1"/>
  <c r="Q43" i="37" s="1"/>
  <c r="J21" i="39"/>
  <c r="K21" i="39" s="1"/>
  <c r="Q17" i="37" s="1"/>
  <c r="J31" i="39"/>
  <c r="K31" i="39" s="1"/>
  <c r="Q27" i="37" s="1"/>
  <c r="J16" i="39"/>
  <c r="K16" i="39" s="1"/>
  <c r="Q12" i="37" s="1"/>
  <c r="J29" i="39"/>
  <c r="K29" i="39" s="1"/>
  <c r="Q25" i="37" s="1"/>
  <c r="J37" i="39"/>
  <c r="K37" i="39" s="1"/>
  <c r="Q33" i="37" s="1"/>
  <c r="J43" i="39"/>
  <c r="K43" i="39" s="1"/>
  <c r="Q39" i="37" s="1"/>
  <c r="J22" i="39"/>
  <c r="K22" i="39" s="1"/>
  <c r="Q18" i="37" s="1"/>
  <c r="J39" i="39"/>
  <c r="K39" i="39" s="1"/>
  <c r="Q35" i="37" s="1"/>
  <c r="J54" i="39"/>
  <c r="K54" i="39" s="1"/>
  <c r="Q50" i="37" s="1"/>
  <c r="J17" i="39"/>
  <c r="K17" i="39" s="1"/>
  <c r="Q13" i="37" s="1"/>
  <c r="J30" i="39"/>
  <c r="K30" i="39" s="1"/>
  <c r="Q26" i="37" s="1"/>
  <c r="J46" i="39"/>
  <c r="K46" i="39" s="1"/>
  <c r="Q42" i="37" s="1"/>
  <c r="J34" i="39"/>
  <c r="K34" i="39" s="1"/>
  <c r="Q30" i="37" s="1"/>
  <c r="J15" i="39"/>
  <c r="K15" i="39" s="1"/>
  <c r="Q11" i="37" s="1"/>
  <c r="J27" i="39"/>
  <c r="K27" i="39" s="1"/>
  <c r="Q23" i="37" s="1"/>
  <c r="J52" i="39"/>
  <c r="K52" i="39" s="1"/>
  <c r="Q48" i="37" s="1"/>
  <c r="J26" i="39"/>
  <c r="K26" i="39" s="1"/>
  <c r="Q22" i="37" s="1"/>
  <c r="J35" i="39"/>
  <c r="K35" i="39" s="1"/>
  <c r="Q31" i="37" s="1"/>
  <c r="J19" i="39"/>
  <c r="K19" i="39" s="1"/>
  <c r="Q15" i="37" s="1"/>
  <c r="J20" i="39"/>
  <c r="K20" i="39" s="1"/>
  <c r="Q16" i="37" s="1"/>
  <c r="J56" i="39"/>
  <c r="K56" i="39" s="1"/>
  <c r="Q52" i="37" s="1"/>
  <c r="J51" i="39"/>
  <c r="K51" i="39" s="1"/>
  <c r="Q47" i="37" s="1"/>
  <c r="J58" i="39"/>
  <c r="K58" i="39" s="1"/>
  <c r="Q54" i="37" s="1"/>
  <c r="J33" i="39"/>
  <c r="K33" i="39" s="1"/>
  <c r="Q29" i="37" s="1"/>
  <c r="J59" i="39"/>
  <c r="K59" i="39" s="1"/>
  <c r="Q55" i="37" s="1"/>
  <c r="J40" i="39"/>
  <c r="K40" i="39" s="1"/>
  <c r="Q36" i="37" s="1"/>
  <c r="J32" i="39"/>
  <c r="K32" i="39" s="1"/>
  <c r="Q28" i="37" s="1"/>
  <c r="J45" i="39"/>
  <c r="K45" i="39" s="1"/>
  <c r="Q41" i="37" s="1"/>
  <c r="J53" i="39"/>
  <c r="K53" i="39" s="1"/>
  <c r="Q49" i="37" s="1"/>
  <c r="J23" i="39"/>
  <c r="K23" i="39" s="1"/>
  <c r="Q19" i="37" s="1"/>
  <c r="J55" i="39"/>
  <c r="K55" i="39" s="1"/>
  <c r="Q51" i="37" s="1"/>
  <c r="J49" i="39"/>
  <c r="K49" i="39" s="1"/>
  <c r="Q45" i="37" s="1"/>
  <c r="J18" i="39"/>
  <c r="K18" i="39" s="1"/>
  <c r="Q14" i="37" s="1"/>
  <c r="C16" i="39"/>
  <c r="D16" i="39" s="1"/>
  <c r="O12" i="37" s="1"/>
  <c r="C56" i="39"/>
  <c r="D56" i="39" s="1"/>
  <c r="O52" i="37" s="1"/>
  <c r="C17" i="39"/>
  <c r="D17" i="39" s="1"/>
  <c r="O13" i="37" s="1"/>
  <c r="C57" i="39"/>
  <c r="D57" i="39" s="1"/>
  <c r="O53" i="37" s="1"/>
  <c r="C18" i="39"/>
  <c r="D18" i="39" s="1"/>
  <c r="O14" i="37" s="1"/>
  <c r="C58" i="39"/>
  <c r="D58" i="39" s="1"/>
  <c r="O54" i="37" s="1"/>
  <c r="C19" i="39"/>
  <c r="D19" i="39" s="1"/>
  <c r="O15" i="37" s="1"/>
  <c r="C59" i="39"/>
  <c r="D59" i="39" s="1"/>
  <c r="O55" i="37" s="1"/>
  <c r="C20" i="39"/>
  <c r="D20" i="39" s="1"/>
  <c r="O16" i="37" s="1"/>
  <c r="C15" i="39"/>
  <c r="D15" i="39" s="1"/>
  <c r="O11" i="37" s="1"/>
  <c r="C21" i="39"/>
  <c r="D21" i="39" s="1"/>
  <c r="O17" i="37" s="1"/>
  <c r="C22" i="39"/>
  <c r="D22" i="39" s="1"/>
  <c r="O18" i="37" s="1"/>
  <c r="C33" i="39"/>
  <c r="D33" i="39" s="1"/>
  <c r="O29" i="37" s="1"/>
  <c r="C23" i="39"/>
  <c r="D23" i="39" s="1"/>
  <c r="O19" i="37" s="1"/>
  <c r="C24" i="39"/>
  <c r="D24" i="39" s="1"/>
  <c r="O20" i="37" s="1"/>
  <c r="C25" i="39"/>
  <c r="D25" i="39" s="1"/>
  <c r="O21" i="37" s="1"/>
  <c r="C26" i="39"/>
  <c r="D26" i="39" s="1"/>
  <c r="O22" i="37" s="1"/>
  <c r="C32" i="39"/>
  <c r="D32" i="39" s="1"/>
  <c r="O28" i="37" s="1"/>
  <c r="C55" i="39"/>
  <c r="D55" i="39" s="1"/>
  <c r="O51" i="37" s="1"/>
  <c r="C27" i="39"/>
  <c r="D27" i="39" s="1"/>
  <c r="O23" i="37" s="1"/>
  <c r="C28" i="39"/>
  <c r="D28" i="39" s="1"/>
  <c r="O24" i="37" s="1"/>
  <c r="C29" i="39"/>
  <c r="D29" i="39" s="1"/>
  <c r="O25" i="37" s="1"/>
  <c r="C30" i="39"/>
  <c r="D30" i="39" s="1"/>
  <c r="O26" i="37" s="1"/>
  <c r="C31" i="39"/>
  <c r="D31" i="39" s="1"/>
  <c r="O27" i="37" s="1"/>
  <c r="C34" i="39"/>
  <c r="D34" i="39" s="1"/>
  <c r="O30" i="37" s="1"/>
  <c r="C35" i="39"/>
  <c r="D35" i="39" s="1"/>
  <c r="O31" i="37" s="1"/>
  <c r="C36" i="39"/>
  <c r="D36" i="39" s="1"/>
  <c r="O32" i="37" s="1"/>
  <c r="C54" i="39"/>
  <c r="D54" i="39" s="1"/>
  <c r="O50" i="37" s="1"/>
  <c r="C37" i="39"/>
  <c r="D37" i="39" s="1"/>
  <c r="O33" i="37" s="1"/>
  <c r="C38" i="39"/>
  <c r="D38" i="39" s="1"/>
  <c r="O34" i="37" s="1"/>
  <c r="C50" i="39"/>
  <c r="D50" i="39" s="1"/>
  <c r="O46" i="37" s="1"/>
  <c r="C39" i="39"/>
  <c r="D39" i="39" s="1"/>
  <c r="O35" i="37" s="1"/>
  <c r="C40" i="39"/>
  <c r="D40" i="39" s="1"/>
  <c r="O36" i="37" s="1"/>
  <c r="C41" i="39"/>
  <c r="D41" i="39" s="1"/>
  <c r="O37" i="37" s="1"/>
  <c r="C42" i="39"/>
  <c r="D42" i="39" s="1"/>
  <c r="O38" i="37" s="1"/>
  <c r="C43" i="39"/>
  <c r="D43" i="39" s="1"/>
  <c r="O39" i="37" s="1"/>
  <c r="C44" i="39"/>
  <c r="D44" i="39" s="1"/>
  <c r="O40" i="37" s="1"/>
  <c r="C45" i="39"/>
  <c r="D45" i="39" s="1"/>
  <c r="O41" i="37" s="1"/>
  <c r="C46" i="39"/>
  <c r="D46" i="39" s="1"/>
  <c r="O42" i="37" s="1"/>
  <c r="C47" i="39"/>
  <c r="D47" i="39" s="1"/>
  <c r="O43" i="37" s="1"/>
  <c r="C48" i="39"/>
  <c r="D48" i="39" s="1"/>
  <c r="O44" i="37" s="1"/>
  <c r="C49" i="39"/>
  <c r="D49" i="39" s="1"/>
  <c r="O45" i="37" s="1"/>
  <c r="C51" i="39"/>
  <c r="D51" i="39" s="1"/>
  <c r="O47" i="37" s="1"/>
  <c r="C52" i="39"/>
  <c r="D52" i="39" s="1"/>
  <c r="O48" i="37" s="1"/>
  <c r="C53" i="39"/>
  <c r="D53" i="39" s="1"/>
  <c r="O49" i="37" s="1"/>
  <c r="S23" i="37"/>
  <c r="S30" i="37"/>
  <c r="S13" i="37"/>
  <c r="S51" i="37"/>
  <c r="S34" i="37"/>
  <c r="S11" i="37"/>
  <c r="S12" i="37"/>
  <c r="S55" i="37"/>
  <c r="S22" i="37"/>
  <c r="S47" i="37"/>
  <c r="S43" i="37"/>
  <c r="S26" i="37"/>
  <c r="S48" i="37"/>
  <c r="S40" i="37"/>
  <c r="S20" i="37"/>
  <c r="S17" i="37"/>
  <c r="S15" i="37"/>
  <c r="S14" i="37"/>
  <c r="S52" i="37"/>
  <c r="S35" i="37"/>
  <c r="S18" i="37"/>
  <c r="S21" i="37"/>
  <c r="S16" i="37"/>
  <c r="S53" i="37"/>
  <c r="S44" i="37"/>
  <c r="S27" i="37"/>
  <c r="S49" i="37"/>
  <c r="S32" i="37"/>
  <c r="S25" i="37"/>
  <c r="S39" i="37"/>
  <c r="S45" i="37"/>
  <c r="S36" i="37"/>
  <c r="S19" i="37"/>
  <c r="S41" i="37"/>
  <c r="S24" i="37"/>
  <c r="S50" i="37"/>
  <c r="S54" i="37"/>
  <c r="S37" i="37"/>
  <c r="S28" i="37"/>
  <c r="S31" i="37"/>
  <c r="S33" i="37"/>
  <c r="S46" i="37"/>
  <c r="S29" i="37"/>
  <c r="S42" i="37"/>
  <c r="S38" i="37"/>
  <c r="T35" i="37"/>
  <c r="E35" i="37" a="1"/>
  <c r="E35" i="37" s="1"/>
  <c r="D35" i="37"/>
  <c r="F35" i="37"/>
  <c r="B59" i="39"/>
  <c r="M59" i="39"/>
  <c r="N59" i="39" s="1"/>
  <c r="E40" i="37" a="1"/>
  <c r="E40" i="37" s="1"/>
  <c r="D40" i="37"/>
  <c r="F40" i="37"/>
  <c r="T40" i="37"/>
  <c r="T55" i="37"/>
  <c r="F55" i="37"/>
  <c r="E55" i="37" a="1"/>
  <c r="E55" i="37" s="1"/>
  <c r="D55" i="37"/>
  <c r="M58" i="39"/>
  <c r="N58" i="39" s="1"/>
  <c r="Q58" i="39" s="1"/>
  <c r="M42" i="39"/>
  <c r="N42" i="39" s="1"/>
  <c r="Q42" i="39" s="1"/>
  <c r="M55" i="39"/>
  <c r="N55" i="39" s="1"/>
  <c r="Q55" i="39" s="1"/>
  <c r="M20" i="39"/>
  <c r="N20" i="39" s="1"/>
  <c r="Q20" i="39" s="1"/>
  <c r="M27" i="39"/>
  <c r="N27" i="39" s="1"/>
  <c r="Q27" i="39" s="1"/>
  <c r="M56" i="39"/>
  <c r="N56" i="39" s="1"/>
  <c r="Q56" i="39" s="1"/>
  <c r="M31" i="39"/>
  <c r="N31" i="39" s="1"/>
  <c r="Q31" i="39" s="1"/>
  <c r="M53" i="39"/>
  <c r="N53" i="39" s="1"/>
  <c r="Q53" i="39" s="1"/>
  <c r="M54" i="39"/>
  <c r="N54" i="39" s="1"/>
  <c r="Q54" i="39" s="1"/>
  <c r="M19" i="39"/>
  <c r="N19" i="39" s="1"/>
  <c r="Q19" i="39" s="1"/>
  <c r="M48" i="39"/>
  <c r="N48" i="39" s="1"/>
  <c r="Q48" i="39" s="1"/>
  <c r="M47" i="39"/>
  <c r="N47" i="39" s="1"/>
  <c r="Q47" i="39" s="1"/>
  <c r="M46" i="39"/>
  <c r="N46" i="39" s="1"/>
  <c r="Q46" i="39" s="1"/>
  <c r="M45" i="39"/>
  <c r="N45" i="39" s="1"/>
  <c r="Q45" i="39" s="1"/>
  <c r="M52" i="39"/>
  <c r="N52" i="39" s="1"/>
  <c r="Q52" i="39" s="1"/>
  <c r="M26" i="39"/>
  <c r="N26" i="39" s="1"/>
  <c r="Q26" i="39" s="1"/>
  <c r="M40" i="39"/>
  <c r="N40" i="39" s="1"/>
  <c r="Q40" i="39" s="1"/>
  <c r="M15" i="39"/>
  <c r="N15" i="39" s="1"/>
  <c r="Q15" i="39" s="1"/>
  <c r="M38" i="39"/>
  <c r="N38" i="39" s="1"/>
  <c r="Q38" i="39" s="1"/>
  <c r="M37" i="39"/>
  <c r="N37" i="39" s="1"/>
  <c r="Q37" i="39" s="1"/>
  <c r="M44" i="39"/>
  <c r="N44" i="39" s="1"/>
  <c r="Q44" i="39" s="1"/>
  <c r="M18" i="39"/>
  <c r="N18" i="39" s="1"/>
  <c r="Q18" i="39" s="1"/>
  <c r="M32" i="39"/>
  <c r="N32" i="39" s="1"/>
  <c r="Q32" i="39" s="1"/>
  <c r="M41" i="39"/>
  <c r="N41" i="39" s="1"/>
  <c r="Q41" i="39" s="1"/>
  <c r="M30" i="39"/>
  <c r="N30" i="39" s="1"/>
  <c r="Q30" i="39" s="1"/>
  <c r="M29" i="39"/>
  <c r="N29" i="39" s="1"/>
  <c r="Q29" i="39" s="1"/>
  <c r="M36" i="39"/>
  <c r="N36" i="39" s="1"/>
  <c r="Q36" i="39" s="1"/>
  <c r="M33" i="39"/>
  <c r="N33" i="39" s="1"/>
  <c r="Q33" i="39" s="1"/>
  <c r="M24" i="39"/>
  <c r="N24" i="39" s="1"/>
  <c r="Q24" i="39" s="1"/>
  <c r="M35" i="39"/>
  <c r="N35" i="39" s="1"/>
  <c r="Q35" i="39" s="1"/>
  <c r="M39" i="39"/>
  <c r="N39" i="39" s="1"/>
  <c r="Q39" i="39" s="1"/>
  <c r="M22" i="39"/>
  <c r="N22" i="39" s="1"/>
  <c r="Q22" i="39" s="1"/>
  <c r="M21" i="39"/>
  <c r="N21" i="39" s="1"/>
  <c r="Q21" i="39" s="1"/>
  <c r="M51" i="39"/>
  <c r="N51" i="39" s="1"/>
  <c r="Q51" i="39" s="1"/>
  <c r="M25" i="39"/>
  <c r="N25" i="39" s="1"/>
  <c r="Q25" i="39" s="1"/>
  <c r="M16" i="39"/>
  <c r="N16" i="39" s="1"/>
  <c r="Q16" i="39" s="1"/>
  <c r="M57" i="39"/>
  <c r="N57" i="39" s="1"/>
  <c r="Q57" i="39" s="1"/>
  <c r="M23" i="39"/>
  <c r="N23" i="39" s="1"/>
  <c r="Q23" i="39" s="1"/>
  <c r="M50" i="39"/>
  <c r="N50" i="39" s="1"/>
  <c r="Q50" i="39" s="1"/>
  <c r="M49" i="39"/>
  <c r="N49" i="39" s="1"/>
  <c r="Q49" i="39" s="1"/>
  <c r="M43" i="39"/>
  <c r="N43" i="39" s="1"/>
  <c r="Q43" i="39" s="1"/>
  <c r="M17" i="39"/>
  <c r="N17" i="39" s="1"/>
  <c r="Q17" i="39" s="1"/>
  <c r="M34" i="39"/>
  <c r="N34" i="39" s="1"/>
  <c r="Q34" i="39" s="1"/>
  <c r="M28" i="39"/>
  <c r="N28" i="39" s="1"/>
  <c r="Q28" i="39" s="1"/>
  <c r="B45" i="39"/>
  <c r="B31" i="39"/>
  <c r="B24" i="39"/>
  <c r="B33" i="39"/>
  <c r="B51" i="39"/>
  <c r="B37" i="39"/>
  <c r="B40" i="39"/>
  <c r="B28" i="39"/>
  <c r="B54" i="39"/>
  <c r="B21" i="39"/>
  <c r="B49" i="39"/>
  <c r="B43" i="39"/>
  <c r="B58" i="39"/>
  <c r="B52" i="39"/>
  <c r="B22" i="39"/>
  <c r="B53" i="39"/>
  <c r="B36" i="39"/>
  <c r="B57" i="39"/>
  <c r="B39" i="39"/>
  <c r="B18" i="39"/>
  <c r="B56" i="39"/>
  <c r="B19" i="39"/>
  <c r="B16" i="39"/>
  <c r="B17" i="39"/>
  <c r="B34" i="39"/>
  <c r="B48" i="39"/>
  <c r="B55" i="39"/>
  <c r="B42" i="39"/>
  <c r="B27" i="39"/>
  <c r="B26" i="39"/>
  <c r="B47" i="39"/>
  <c r="B35" i="39"/>
  <c r="B23" i="39"/>
  <c r="B44" i="39"/>
  <c r="B41" i="39"/>
  <c r="B20" i="39"/>
  <c r="B15" i="39"/>
  <c r="B38" i="39"/>
  <c r="B32" i="39"/>
  <c r="B30" i="39"/>
  <c r="B29" i="39"/>
  <c r="B25" i="39"/>
  <c r="B50" i="39"/>
  <c r="B46" i="39"/>
  <c r="T28" i="37"/>
  <c r="T30" i="37"/>
  <c r="T34" i="37"/>
  <c r="T48" i="37"/>
  <c r="T53" i="37"/>
  <c r="T27" i="37"/>
  <c r="T47" i="37"/>
  <c r="T50" i="37"/>
  <c r="T44" i="37"/>
  <c r="T36" i="37"/>
  <c r="T32" i="37"/>
  <c r="T38" i="37"/>
  <c r="T20" i="37"/>
  <c r="T39" i="37"/>
  <c r="T43" i="37"/>
  <c r="T21" i="37"/>
  <c r="T37" i="37"/>
  <c r="T49" i="37"/>
  <c r="T41" i="37"/>
  <c r="T18" i="37"/>
  <c r="T23" i="37"/>
  <c r="T29" i="37"/>
  <c r="T13" i="37"/>
  <c r="T17" i="37"/>
  <c r="T15" i="37"/>
  <c r="T54" i="37"/>
  <c r="T46" i="37"/>
  <c r="T12" i="37"/>
  <c r="T31" i="37"/>
  <c r="T22" i="37"/>
  <c r="T42" i="37"/>
  <c r="T33" i="37"/>
  <c r="T14" i="37"/>
  <c r="T56" i="37"/>
  <c r="T26" i="37"/>
  <c r="T52" i="37"/>
  <c r="T45" i="37"/>
  <c r="T25" i="37"/>
  <c r="T24" i="37"/>
  <c r="T16" i="37"/>
  <c r="T11" i="37"/>
  <c r="T51" i="37"/>
  <c r="T19" i="37"/>
  <c r="E23" i="37" a="1"/>
  <c r="E23" i="37" s="1"/>
  <c r="E24" i="37" a="1"/>
  <c r="E24" i="37" s="1"/>
  <c r="E13" i="37" a="1"/>
  <c r="E13" i="37" s="1"/>
  <c r="E48" i="37" a="1"/>
  <c r="E48" i="37" s="1"/>
  <c r="E34" i="37" a="1"/>
  <c r="E34" i="37" s="1"/>
  <c r="E20" i="37" a="1"/>
  <c r="E20" i="37" s="1"/>
  <c r="E25" i="37" a="1"/>
  <c r="E25" i="37" s="1"/>
  <c r="E51" i="37" a="1"/>
  <c r="E51" i="37" s="1"/>
  <c r="E44" i="37" a="1"/>
  <c r="E44" i="37" s="1"/>
  <c r="E21" i="37" a="1"/>
  <c r="E21" i="37" s="1"/>
  <c r="E19" i="37" a="1"/>
  <c r="E19" i="37" s="1"/>
  <c r="E31" i="37" a="1"/>
  <c r="E31" i="37" s="1"/>
  <c r="E46" i="37" a="1"/>
  <c r="E46" i="37" s="1"/>
  <c r="E29" i="37" a="1"/>
  <c r="E29" i="37" s="1"/>
  <c r="E30" i="37" a="1"/>
  <c r="E30" i="37" s="1"/>
  <c r="E16" i="37" a="1"/>
  <c r="E16" i="37" s="1"/>
  <c r="E45" i="37" a="1"/>
  <c r="E45" i="37" s="1"/>
  <c r="E26" i="37" a="1"/>
  <c r="E26" i="37" s="1"/>
  <c r="E12" i="37" a="1"/>
  <c r="E12" i="37" s="1"/>
  <c r="E32" i="37" a="1"/>
  <c r="E32" i="37" s="1"/>
  <c r="E33" i="37" a="1"/>
  <c r="E33" i="37" s="1"/>
  <c r="E50" i="37" a="1"/>
  <c r="E50" i="37" s="1"/>
  <c r="E18" i="37" a="1"/>
  <c r="E18" i="37" s="1"/>
  <c r="E11" i="37" a="1"/>
  <c r="E11" i="37" s="1"/>
  <c r="E56" i="37" a="1"/>
  <c r="E56" i="37" s="1"/>
  <c r="E49" i="37" a="1"/>
  <c r="E49" i="37" s="1"/>
  <c r="E47" i="37" a="1"/>
  <c r="E47" i="37" s="1"/>
  <c r="E36" i="37" a="1"/>
  <c r="E36" i="37" s="1"/>
  <c r="E54" i="37" a="1"/>
  <c r="E54" i="37" s="1"/>
  <c r="E53" i="37" a="1"/>
  <c r="E53" i="37" s="1"/>
  <c r="E17" i="37" a="1"/>
  <c r="E17" i="37" s="1"/>
  <c r="E52" i="37" a="1"/>
  <c r="E52" i="37" s="1"/>
  <c r="E43" i="37" a="1"/>
  <c r="E43" i="37" s="1"/>
  <c r="E42" i="37" a="1"/>
  <c r="E42" i="37" s="1"/>
  <c r="E22" i="37" a="1"/>
  <c r="E22" i="37" s="1"/>
  <c r="E41" i="37" a="1"/>
  <c r="E41" i="37" s="1"/>
  <c r="E39" i="37" a="1"/>
  <c r="E39" i="37" s="1"/>
  <c r="E38" i="37" a="1"/>
  <c r="E38" i="37" s="1"/>
  <c r="E14" i="37" a="1"/>
  <c r="E14" i="37" s="1"/>
  <c r="E15" i="37" a="1"/>
  <c r="E15" i="37" s="1"/>
  <c r="E37" i="37" a="1"/>
  <c r="E37" i="37" s="1"/>
  <c r="E27" i="37" a="1"/>
  <c r="E27" i="37" s="1"/>
  <c r="E28" i="37" a="1"/>
  <c r="E28" i="37" s="1"/>
  <c r="F48" i="37"/>
  <c r="F53" i="37"/>
  <c r="F49" i="37"/>
  <c r="D46" i="37"/>
  <c r="F36" i="37"/>
  <c r="D29" i="37"/>
  <c r="D38" i="37"/>
  <c r="F56" i="37"/>
  <c r="F17" i="37"/>
  <c r="F52" i="37"/>
  <c r="F50" i="37"/>
  <c r="D30" i="37"/>
  <c r="D26" i="37"/>
  <c r="F19" i="37"/>
  <c r="D15" i="37"/>
  <c r="F43" i="37"/>
  <c r="F42" i="37"/>
  <c r="D16" i="37"/>
  <c r="D45" i="37"/>
  <c r="F11" i="37"/>
  <c r="D41" i="37"/>
  <c r="F30" i="37"/>
  <c r="F26" i="37"/>
  <c r="D48" i="37"/>
  <c r="F22" i="37"/>
  <c r="F41" i="37"/>
  <c r="F39" i="37"/>
  <c r="D12" i="37"/>
  <c r="D39" i="37"/>
  <c r="F16" i="37"/>
  <c r="D13" i="37"/>
  <c r="F18" i="37"/>
  <c r="D27" i="37"/>
  <c r="F14" i="37"/>
  <c r="F21" i="37"/>
  <c r="F46" i="37"/>
  <c r="F15" i="37"/>
  <c r="F37" i="37"/>
  <c r="D32" i="37"/>
  <c r="F13" i="37"/>
  <c r="D14" i="37"/>
  <c r="D28" i="37"/>
  <c r="F27" i="37"/>
  <c r="F38" i="37"/>
  <c r="D33" i="37"/>
  <c r="F28" i="37"/>
  <c r="D18" i="37"/>
  <c r="D47" i="37"/>
  <c r="D54" i="37"/>
  <c r="D25" i="37"/>
  <c r="F23" i="37"/>
  <c r="F51" i="37"/>
  <c r="D56" i="37"/>
  <c r="F31" i="37"/>
  <c r="F24" i="37"/>
  <c r="D21" i="37"/>
  <c r="D23" i="37"/>
  <c r="F34" i="37"/>
  <c r="D53" i="37"/>
  <c r="D49" i="37"/>
  <c r="D42" i="37"/>
  <c r="D24" i="37"/>
  <c r="D34" i="37"/>
  <c r="F54" i="37"/>
  <c r="F20" i="37"/>
  <c r="D17" i="37"/>
  <c r="D36" i="37"/>
  <c r="D11" i="37"/>
  <c r="F12" i="37"/>
  <c r="F25" i="37"/>
  <c r="D52" i="37"/>
  <c r="D50" i="37"/>
  <c r="F29" i="37"/>
  <c r="D51" i="37"/>
  <c r="F44" i="37"/>
  <c r="D43" i="37"/>
  <c r="D22" i="37"/>
  <c r="D37" i="37"/>
  <c r="F45" i="37"/>
  <c r="D31" i="37"/>
  <c r="F32" i="37"/>
  <c r="D20" i="37"/>
  <c r="D44" i="37"/>
  <c r="F33" i="37"/>
  <c r="D19" i="37"/>
  <c r="F47" i="37"/>
  <c r="A27" i="32"/>
  <c r="O31" i="18"/>
  <c r="G57" i="31"/>
  <c r="H27" i="32" s="1"/>
  <c r="B49" i="17"/>
  <c r="B50" i="17"/>
  <c r="J32" i="28"/>
  <c r="O25" i="38"/>
  <c r="K34" i="38"/>
  <c r="J43" i="18"/>
  <c r="N34" i="38"/>
  <c r="L43" i="18"/>
  <c r="K43" i="18"/>
  <c r="E12" i="18" l="1"/>
  <c r="I47" i="37"/>
  <c r="I33" i="37"/>
  <c r="I25" i="37"/>
  <c r="I54" i="37"/>
  <c r="I34" i="37"/>
  <c r="I31" i="37"/>
  <c r="I51" i="37"/>
  <c r="I28" i="37"/>
  <c r="I38" i="37"/>
  <c r="I13" i="37"/>
  <c r="I37" i="37"/>
  <c r="I46" i="37"/>
  <c r="I14" i="37"/>
  <c r="I18" i="37"/>
  <c r="I16" i="37"/>
  <c r="I41" i="37"/>
  <c r="I30" i="37"/>
  <c r="I11" i="37"/>
  <c r="I43" i="37"/>
  <c r="I19" i="37"/>
  <c r="I52" i="37"/>
  <c r="I53" i="37"/>
  <c r="I55" i="37"/>
  <c r="I32" i="37"/>
  <c r="I45" i="37"/>
  <c r="I44" i="37"/>
  <c r="I29" i="37"/>
  <c r="I12" i="37"/>
  <c r="I20" i="37"/>
  <c r="I24" i="37"/>
  <c r="I23" i="37"/>
  <c r="I27" i="37"/>
  <c r="I15" i="37"/>
  <c r="I21" i="37"/>
  <c r="I39" i="37"/>
  <c r="I22" i="37"/>
  <c r="I26" i="37"/>
  <c r="I42" i="37"/>
  <c r="I50" i="37"/>
  <c r="I17" i="37"/>
  <c r="I36" i="37"/>
  <c r="I49" i="37"/>
  <c r="I48" i="37"/>
  <c r="I35" i="37"/>
  <c r="I40" i="37"/>
  <c r="G40" i="37"/>
  <c r="P59" i="39"/>
  <c r="R59" i="39" s="1"/>
  <c r="R55" i="37" s="1"/>
  <c r="Q59" i="39"/>
  <c r="E59" i="39"/>
  <c r="G59" i="39" s="1"/>
  <c r="H59" i="39" s="1"/>
  <c r="P55" i="37" s="1"/>
  <c r="G166" i="35"/>
  <c r="T57" i="37"/>
  <c r="M62" i="39"/>
  <c r="G55" i="37"/>
  <c r="E46" i="39"/>
  <c r="E50" i="39"/>
  <c r="E25" i="39"/>
  <c r="E29" i="39"/>
  <c r="E30" i="39"/>
  <c r="E32" i="39"/>
  <c r="E38" i="39"/>
  <c r="E15" i="39"/>
  <c r="E20" i="39"/>
  <c r="E41" i="39"/>
  <c r="E44" i="39"/>
  <c r="E23" i="39"/>
  <c r="E35" i="39"/>
  <c r="E47" i="39"/>
  <c r="E26" i="39"/>
  <c r="E27" i="39"/>
  <c r="E42" i="39"/>
  <c r="E55" i="39"/>
  <c r="B62" i="39"/>
  <c r="E48" i="39"/>
  <c r="E34" i="39"/>
  <c r="E17" i="39"/>
  <c r="E16" i="39"/>
  <c r="E19" i="39"/>
  <c r="E56" i="39"/>
  <c r="E18" i="39"/>
  <c r="E39" i="39"/>
  <c r="E57" i="39"/>
  <c r="E36" i="39"/>
  <c r="E53" i="39"/>
  <c r="E22" i="39"/>
  <c r="E52" i="39"/>
  <c r="E58" i="39"/>
  <c r="E43" i="39"/>
  <c r="E49" i="39"/>
  <c r="E21" i="39"/>
  <c r="E54" i="39"/>
  <c r="E28" i="39"/>
  <c r="E40" i="39"/>
  <c r="E37" i="39"/>
  <c r="E51" i="39"/>
  <c r="E33" i="39"/>
  <c r="E24" i="39"/>
  <c r="E31" i="39"/>
  <c r="E45" i="39"/>
  <c r="S57" i="37"/>
  <c r="G48" i="37"/>
  <c r="G42" i="37"/>
  <c r="G44" i="37"/>
  <c r="G43" i="37"/>
  <c r="G19" i="37"/>
  <c r="G38" i="37"/>
  <c r="G27" i="37"/>
  <c r="G50" i="37"/>
  <c r="G12" i="37"/>
  <c r="G52" i="37"/>
  <c r="G13" i="37"/>
  <c r="G17" i="37"/>
  <c r="G56" i="37"/>
  <c r="G37" i="37"/>
  <c r="G25" i="37"/>
  <c r="G36" i="37"/>
  <c r="G46" i="37"/>
  <c r="G49" i="37"/>
  <c r="G21" i="37"/>
  <c r="G20" i="37"/>
  <c r="G14" i="37"/>
  <c r="G54" i="37"/>
  <c r="G53" i="37"/>
  <c r="G18" i="37"/>
  <c r="G16" i="37"/>
  <c r="G34" i="37"/>
  <c r="G39" i="37"/>
  <c r="G41" i="37"/>
  <c r="G33" i="37"/>
  <c r="G22" i="37"/>
  <c r="G51" i="37"/>
  <c r="G47" i="37"/>
  <c r="G31" i="37"/>
  <c r="G23" i="37"/>
  <c r="G26" i="37"/>
  <c r="G32" i="37"/>
  <c r="G11" i="37"/>
  <c r="G30" i="37"/>
  <c r="G24" i="37"/>
  <c r="G45" i="37"/>
  <c r="D57" i="37"/>
  <c r="F57" i="37"/>
  <c r="B53" i="17"/>
  <c r="E12" i="38"/>
  <c r="E15" i="38" s="1"/>
  <c r="E17" i="38" s="1"/>
  <c r="E15" i="18"/>
  <c r="E18" i="18" s="1"/>
  <c r="H31" i="32" l="1"/>
  <c r="Q62" i="39"/>
  <c r="N62" i="39"/>
  <c r="G45" i="39"/>
  <c r="H45" i="39" s="1"/>
  <c r="P41" i="37" s="1"/>
  <c r="G31" i="39"/>
  <c r="H31" i="39" s="1"/>
  <c r="P27" i="37" s="1"/>
  <c r="G24" i="39"/>
  <c r="H24" i="39" s="1"/>
  <c r="P20" i="37" s="1"/>
  <c r="G33" i="39"/>
  <c r="H33" i="39" s="1"/>
  <c r="P29" i="37" s="1"/>
  <c r="G51" i="39"/>
  <c r="H51" i="39" s="1"/>
  <c r="P47" i="37" s="1"/>
  <c r="G37" i="39"/>
  <c r="H37" i="39" s="1"/>
  <c r="P33" i="37" s="1"/>
  <c r="G40" i="39"/>
  <c r="H40" i="39" s="1"/>
  <c r="P36" i="37" s="1"/>
  <c r="G28" i="39"/>
  <c r="H28" i="39" s="1"/>
  <c r="P24" i="37" s="1"/>
  <c r="G54" i="39"/>
  <c r="H54" i="39" s="1"/>
  <c r="P50" i="37" s="1"/>
  <c r="G21" i="39"/>
  <c r="H21" i="39" s="1"/>
  <c r="P17" i="37" s="1"/>
  <c r="G49" i="39"/>
  <c r="H49" i="39" s="1"/>
  <c r="P45" i="37" s="1"/>
  <c r="G43" i="39"/>
  <c r="H43" i="39" s="1"/>
  <c r="P39" i="37" s="1"/>
  <c r="G58" i="39"/>
  <c r="H58" i="39" s="1"/>
  <c r="P54" i="37" s="1"/>
  <c r="G52" i="39"/>
  <c r="H52" i="39" s="1"/>
  <c r="P48" i="37" s="1"/>
  <c r="G22" i="39"/>
  <c r="H22" i="39" s="1"/>
  <c r="P18" i="37" s="1"/>
  <c r="G53" i="39"/>
  <c r="H53" i="39" s="1"/>
  <c r="P49" i="37" s="1"/>
  <c r="G36" i="39"/>
  <c r="H36" i="39" s="1"/>
  <c r="P32" i="37" s="1"/>
  <c r="G57" i="39"/>
  <c r="H57" i="39" s="1"/>
  <c r="P53" i="37" s="1"/>
  <c r="G39" i="39"/>
  <c r="H39" i="39" s="1"/>
  <c r="P35" i="37" s="1"/>
  <c r="G18" i="39"/>
  <c r="H18" i="39" s="1"/>
  <c r="P14" i="37" s="1"/>
  <c r="G56" i="39"/>
  <c r="H56" i="39" s="1"/>
  <c r="P52" i="37" s="1"/>
  <c r="G19" i="39"/>
  <c r="H19" i="39" s="1"/>
  <c r="P15" i="37" s="1"/>
  <c r="G16" i="39"/>
  <c r="H16" i="39" s="1"/>
  <c r="P12" i="37" s="1"/>
  <c r="G17" i="39"/>
  <c r="H17" i="39" s="1"/>
  <c r="P13" i="37" s="1"/>
  <c r="G34" i="39"/>
  <c r="H34" i="39" s="1"/>
  <c r="P30" i="37" s="1"/>
  <c r="G48" i="39"/>
  <c r="H48" i="39" s="1"/>
  <c r="P44" i="37" s="1"/>
  <c r="G55" i="39"/>
  <c r="H55" i="39" s="1"/>
  <c r="P51" i="37" s="1"/>
  <c r="G42" i="39"/>
  <c r="H42" i="39" s="1"/>
  <c r="P38" i="37" s="1"/>
  <c r="G27" i="39"/>
  <c r="H27" i="39" s="1"/>
  <c r="P23" i="37" s="1"/>
  <c r="G26" i="39"/>
  <c r="H26" i="39" s="1"/>
  <c r="P22" i="37" s="1"/>
  <c r="G47" i="39"/>
  <c r="H47" i="39" s="1"/>
  <c r="P43" i="37" s="1"/>
  <c r="G35" i="39"/>
  <c r="H35" i="39" s="1"/>
  <c r="P31" i="37" s="1"/>
  <c r="G23" i="39"/>
  <c r="H23" i="39" s="1"/>
  <c r="P19" i="37" s="1"/>
  <c r="G44" i="39"/>
  <c r="H44" i="39" s="1"/>
  <c r="P40" i="37" s="1"/>
  <c r="G41" i="39"/>
  <c r="H41" i="39" s="1"/>
  <c r="P37" i="37" s="1"/>
  <c r="G20" i="39"/>
  <c r="H20" i="39" s="1"/>
  <c r="P16" i="37" s="1"/>
  <c r="G15" i="39"/>
  <c r="H15" i="39" s="1"/>
  <c r="P11" i="37" s="1"/>
  <c r="G38" i="39"/>
  <c r="H38" i="39" s="1"/>
  <c r="P34" i="37" s="1"/>
  <c r="G32" i="39"/>
  <c r="H32" i="39" s="1"/>
  <c r="P28" i="37" s="1"/>
  <c r="G30" i="39"/>
  <c r="H30" i="39" s="1"/>
  <c r="P26" i="37" s="1"/>
  <c r="G29" i="39"/>
  <c r="H29" i="39" s="1"/>
  <c r="P25" i="37" s="1"/>
  <c r="G25" i="39"/>
  <c r="H25" i="39" s="1"/>
  <c r="P21" i="37" s="1"/>
  <c r="G50" i="39"/>
  <c r="H50" i="39" s="1"/>
  <c r="P46" i="37" s="1"/>
  <c r="G46" i="39"/>
  <c r="H46" i="39" s="1"/>
  <c r="P42" i="37" s="1"/>
  <c r="J62" i="39"/>
  <c r="E62" i="39"/>
  <c r="I57" i="37"/>
  <c r="G57" i="37"/>
  <c r="F15" i="32" s="1"/>
  <c r="E18" i="38"/>
  <c r="E19" i="38" s="1"/>
  <c r="E21" i="38" s="1"/>
  <c r="E17" i="18"/>
  <c r="E19" i="18" s="1"/>
  <c r="E21" i="18" s="1"/>
  <c r="C62" i="39" l="1"/>
  <c r="P46" i="39"/>
  <c r="R46" i="39" s="1"/>
  <c r="R42" i="37" s="1"/>
  <c r="P50" i="39"/>
  <c r="R50" i="39" s="1"/>
  <c r="R46" i="37" s="1"/>
  <c r="P25" i="39"/>
  <c r="R25" i="39" s="1"/>
  <c r="R21" i="37" s="1"/>
  <c r="P29" i="39"/>
  <c r="R29" i="39" s="1"/>
  <c r="R25" i="37" s="1"/>
  <c r="P30" i="39"/>
  <c r="R30" i="39" s="1"/>
  <c r="R26" i="37" s="1"/>
  <c r="P32" i="39"/>
  <c r="R32" i="39" s="1"/>
  <c r="R28" i="37" s="1"/>
  <c r="P38" i="39"/>
  <c r="R38" i="39" s="1"/>
  <c r="R34" i="37" s="1"/>
  <c r="P15" i="39"/>
  <c r="R15" i="39" s="1"/>
  <c r="R11" i="37" s="1"/>
  <c r="P20" i="39"/>
  <c r="R20" i="39" s="1"/>
  <c r="R16" i="37" s="1"/>
  <c r="P41" i="39"/>
  <c r="R41" i="39" s="1"/>
  <c r="R37" i="37" s="1"/>
  <c r="P44" i="39"/>
  <c r="R44" i="39" s="1"/>
  <c r="R40" i="37" s="1"/>
  <c r="P23" i="39"/>
  <c r="R23" i="39" s="1"/>
  <c r="R19" i="37" s="1"/>
  <c r="P35" i="39"/>
  <c r="R35" i="39" s="1"/>
  <c r="R31" i="37" s="1"/>
  <c r="P47" i="39"/>
  <c r="R47" i="39" s="1"/>
  <c r="R43" i="37" s="1"/>
  <c r="P26" i="39"/>
  <c r="R26" i="39" s="1"/>
  <c r="R22" i="37" s="1"/>
  <c r="P27" i="39"/>
  <c r="R27" i="39" s="1"/>
  <c r="R23" i="37" s="1"/>
  <c r="P42" i="39"/>
  <c r="R42" i="39" s="1"/>
  <c r="R38" i="37" s="1"/>
  <c r="P55" i="39"/>
  <c r="R55" i="39" s="1"/>
  <c r="R51" i="37" s="1"/>
  <c r="P48" i="39"/>
  <c r="R48" i="39" s="1"/>
  <c r="R44" i="37" s="1"/>
  <c r="P34" i="39"/>
  <c r="R34" i="39" s="1"/>
  <c r="R30" i="37" s="1"/>
  <c r="P17" i="39"/>
  <c r="R17" i="39" s="1"/>
  <c r="R13" i="37" s="1"/>
  <c r="P16" i="39"/>
  <c r="R16" i="39" s="1"/>
  <c r="R12" i="37" s="1"/>
  <c r="P19" i="39"/>
  <c r="R19" i="39" s="1"/>
  <c r="R15" i="37" s="1"/>
  <c r="P56" i="39"/>
  <c r="R56" i="39" s="1"/>
  <c r="R52" i="37" s="1"/>
  <c r="P18" i="39"/>
  <c r="R18" i="39" s="1"/>
  <c r="R14" i="37" s="1"/>
  <c r="P39" i="39"/>
  <c r="R39" i="39" s="1"/>
  <c r="R35" i="37" s="1"/>
  <c r="P57" i="39"/>
  <c r="R57" i="39" s="1"/>
  <c r="R53" i="37" s="1"/>
  <c r="P36" i="39"/>
  <c r="R36" i="39" s="1"/>
  <c r="R32" i="37" s="1"/>
  <c r="P53" i="39"/>
  <c r="R53" i="39" s="1"/>
  <c r="R49" i="37" s="1"/>
  <c r="P22" i="39"/>
  <c r="R22" i="39" s="1"/>
  <c r="R18" i="37" s="1"/>
  <c r="P52" i="39"/>
  <c r="R52" i="39" s="1"/>
  <c r="R48" i="37" s="1"/>
  <c r="P58" i="39"/>
  <c r="R58" i="39" s="1"/>
  <c r="R54" i="37" s="1"/>
  <c r="P43" i="39"/>
  <c r="R43" i="39" s="1"/>
  <c r="R39" i="37" s="1"/>
  <c r="P49" i="39"/>
  <c r="R49" i="39" s="1"/>
  <c r="R45" i="37" s="1"/>
  <c r="P21" i="39"/>
  <c r="R21" i="39" s="1"/>
  <c r="R17" i="37" s="1"/>
  <c r="P54" i="39"/>
  <c r="R54" i="39" s="1"/>
  <c r="R50" i="37" s="1"/>
  <c r="P28" i="39"/>
  <c r="R28" i="39" s="1"/>
  <c r="R24" i="37" s="1"/>
  <c r="P40" i="39"/>
  <c r="R40" i="39" s="1"/>
  <c r="R36" i="37" s="1"/>
  <c r="P37" i="39"/>
  <c r="R37" i="39" s="1"/>
  <c r="R33" i="37" s="1"/>
  <c r="P51" i="39"/>
  <c r="R51" i="39" s="1"/>
  <c r="R47" i="37" s="1"/>
  <c r="P33" i="39"/>
  <c r="R33" i="39" s="1"/>
  <c r="R29" i="37" s="1"/>
  <c r="P24" i="39"/>
  <c r="R24" i="39" s="1"/>
  <c r="R20" i="37" s="1"/>
  <c r="P31" i="39"/>
  <c r="R31" i="39" s="1"/>
  <c r="R27" i="37" s="1"/>
  <c r="P45" i="39"/>
  <c r="R45" i="39" s="1"/>
  <c r="R41" i="37" s="1"/>
  <c r="G62" i="39"/>
  <c r="H6" i="28"/>
  <c r="C29" i="17"/>
  <c r="C31" i="17" s="1"/>
  <c r="C34" i="17" s="1"/>
  <c r="C21" i="17" s="1"/>
  <c r="C24" i="17" s="1"/>
  <c r="E22" i="38" s="1"/>
  <c r="E23" i="38" s="1"/>
  <c r="P62" i="39" l="1"/>
  <c r="Q57" i="37"/>
  <c r="K62" i="39"/>
  <c r="D62" i="39"/>
  <c r="O57" i="37"/>
  <c r="H62" i="39"/>
  <c r="P57" i="37"/>
  <c r="E25" i="38"/>
  <c r="E26" i="38" s="1"/>
  <c r="E22" i="18"/>
  <c r="E23" i="18" s="1"/>
  <c r="R62" i="39" l="1"/>
  <c r="R57" i="37"/>
  <c r="E25" i="18"/>
  <c r="E26" i="18" s="1"/>
  <c r="E32" i="38"/>
  <c r="E43" i="38" s="1"/>
  <c r="H29" i="32" l="1"/>
  <c r="H33" i="32" s="1"/>
  <c r="H34" i="32" s="1"/>
  <c r="H35" i="32" s="1"/>
  <c r="K64" i="39"/>
  <c r="E32" i="18"/>
  <c r="E47" i="38"/>
  <c r="N35" i="37" l="1"/>
  <c r="N55" i="37"/>
  <c r="N40" i="37"/>
  <c r="N48" i="37"/>
  <c r="N34" i="37"/>
  <c r="N52" i="37"/>
  <c r="N45" i="37"/>
  <c r="N13" i="37"/>
  <c r="N53" i="37"/>
  <c r="N27" i="37"/>
  <c r="N24" i="37"/>
  <c r="N32" i="37"/>
  <c r="N23" i="37"/>
  <c r="N12" i="37"/>
  <c r="N21" i="37"/>
  <c r="N46" i="37"/>
  <c r="N36" i="37"/>
  <c r="N14" i="37"/>
  <c r="N37" i="37"/>
  <c r="N31" i="37"/>
  <c r="N11" i="37"/>
  <c r="N26" i="37"/>
  <c r="N20" i="37"/>
  <c r="N47" i="37"/>
  <c r="N30" i="37"/>
  <c r="N54" i="37"/>
  <c r="N33" i="37"/>
  <c r="N15" i="37"/>
  <c r="N43" i="37"/>
  <c r="N16" i="37"/>
  <c r="N29" i="37"/>
  <c r="N39" i="37"/>
  <c r="N28" i="37"/>
  <c r="N50" i="37"/>
  <c r="N19" i="37"/>
  <c r="N17" i="37"/>
  <c r="N38" i="37"/>
  <c r="N51" i="37"/>
  <c r="N18" i="37"/>
  <c r="N22" i="37"/>
  <c r="N44" i="37"/>
  <c r="N42" i="37"/>
  <c r="N41" i="37"/>
  <c r="N25" i="37"/>
  <c r="N49" i="37"/>
  <c r="F35" i="38"/>
  <c r="F36" i="38"/>
  <c r="F37" i="38"/>
  <c r="F38" i="38"/>
  <c r="F39" i="38"/>
  <c r="F40" i="38"/>
  <c r="F41" i="38"/>
  <c r="E49" i="38"/>
  <c r="F34" i="38"/>
  <c r="E53" i="38"/>
  <c r="F19" i="38"/>
  <c r="F45" i="38"/>
  <c r="F26" i="38"/>
  <c r="E51" i="38"/>
  <c r="G17" i="32"/>
  <c r="H17" i="32" s="1"/>
  <c r="F23" i="38"/>
  <c r="F32" i="38"/>
  <c r="F43" i="38"/>
  <c r="E43" i="18"/>
  <c r="N57" i="37" l="1"/>
  <c r="F47" i="38"/>
  <c r="E47" i="18"/>
  <c r="L35" i="37" l="1"/>
  <c r="L28" i="37"/>
  <c r="L29" i="37"/>
  <c r="L15" i="37"/>
  <c r="G15" i="32"/>
  <c r="H15" i="32" s="1"/>
  <c r="K35" i="37"/>
  <c r="M35" i="37" s="1"/>
  <c r="U35" i="37" s="1"/>
  <c r="K40" i="37"/>
  <c r="K55" i="37"/>
  <c r="L30" i="37"/>
  <c r="L34" i="37"/>
  <c r="L37" i="37"/>
  <c r="L40" i="37"/>
  <c r="L16" i="37"/>
  <c r="L55" i="37"/>
  <c r="L36" i="37"/>
  <c r="L38" i="37"/>
  <c r="K29" i="37"/>
  <c r="K54" i="37"/>
  <c r="K47" i="37"/>
  <c r="K26" i="37"/>
  <c r="K36" i="37"/>
  <c r="K48" i="37"/>
  <c r="K30" i="37"/>
  <c r="K49" i="37"/>
  <c r="K38" i="37"/>
  <c r="K53" i="37"/>
  <c r="K27" i="37"/>
  <c r="K43" i="37"/>
  <c r="K37" i="37"/>
  <c r="K15" i="37"/>
  <c r="K31" i="37"/>
  <c r="K41" i="37"/>
  <c r="K25" i="37"/>
  <c r="K20" i="37"/>
  <c r="K12" i="37"/>
  <c r="K11" i="37"/>
  <c r="K42" i="37"/>
  <c r="K34" i="37"/>
  <c r="K13" i="37"/>
  <c r="K19" i="37"/>
  <c r="K21" i="37"/>
  <c r="K17" i="37"/>
  <c r="K22" i="37"/>
  <c r="K18" i="37"/>
  <c r="K32" i="37"/>
  <c r="K50" i="37"/>
  <c r="K45" i="37"/>
  <c r="K28" i="37"/>
  <c r="K16" i="37"/>
  <c r="K52" i="37"/>
  <c r="K14" i="37"/>
  <c r="K24" i="37"/>
  <c r="K46" i="37"/>
  <c r="K39" i="37"/>
  <c r="K51" i="37"/>
  <c r="K33" i="37"/>
  <c r="K44" i="37"/>
  <c r="K23" i="37"/>
  <c r="L31" i="37"/>
  <c r="L19" i="37"/>
  <c r="L45" i="37"/>
  <c r="L43" i="37"/>
  <c r="L11" i="37"/>
  <c r="L46" i="37"/>
  <c r="L54" i="37"/>
  <c r="L41" i="37"/>
  <c r="L53" i="37"/>
  <c r="L17" i="37"/>
  <c r="L47" i="37"/>
  <c r="L48" i="37"/>
  <c r="L44" i="37"/>
  <c r="L12" i="37"/>
  <c r="L50" i="37"/>
  <c r="L42" i="37"/>
  <c r="L51" i="37"/>
  <c r="L27" i="37"/>
  <c r="L20" i="37"/>
  <c r="L49" i="37"/>
  <c r="L24" i="37"/>
  <c r="L39" i="37"/>
  <c r="L33" i="37"/>
  <c r="L32" i="37"/>
  <c r="L52" i="37"/>
  <c r="L26" i="37"/>
  <c r="L13" i="37"/>
  <c r="L14" i="37"/>
  <c r="L21" i="37"/>
  <c r="L23" i="37"/>
  <c r="L18" i="37"/>
  <c r="L22" i="37"/>
  <c r="L25" i="37"/>
  <c r="E49" i="18"/>
  <c r="F35" i="18"/>
  <c r="F36" i="18"/>
  <c r="F37" i="18"/>
  <c r="F38" i="18"/>
  <c r="F39" i="18"/>
  <c r="F40" i="18"/>
  <c r="F41" i="18"/>
  <c r="F34" i="18"/>
  <c r="F42" i="18"/>
  <c r="E51" i="18"/>
  <c r="F45" i="18"/>
  <c r="F19" i="18"/>
  <c r="G14" i="32"/>
  <c r="H14" i="32" s="1"/>
  <c r="F23" i="18"/>
  <c r="F26" i="18"/>
  <c r="E53" i="18"/>
  <c r="F32" i="18"/>
  <c r="F43" i="18"/>
  <c r="M40" i="37" l="1"/>
  <c r="U40" i="37" s="1"/>
  <c r="M55" i="37"/>
  <c r="U55" i="37" s="1"/>
  <c r="X35" i="37"/>
  <c r="Y35" i="37" s="1"/>
  <c r="V35" i="37"/>
  <c r="M44" i="37"/>
  <c r="U44" i="37" s="1"/>
  <c r="M45" i="37"/>
  <c r="U45" i="37" s="1"/>
  <c r="M50" i="37"/>
  <c r="U50" i="37" s="1"/>
  <c r="M32" i="37"/>
  <c r="U32" i="37" s="1"/>
  <c r="M19" i="37"/>
  <c r="U19" i="37" s="1"/>
  <c r="M42" i="37"/>
  <c r="U42" i="37" s="1"/>
  <c r="M12" i="37"/>
  <c r="M20" i="37"/>
  <c r="M15" i="37"/>
  <c r="U15" i="37" s="1"/>
  <c r="M27" i="37"/>
  <c r="U27" i="37" s="1"/>
  <c r="M13" i="37"/>
  <c r="U13" i="37" s="1"/>
  <c r="M48" i="37"/>
  <c r="U48" i="37" s="1"/>
  <c r="M18" i="37"/>
  <c r="U18" i="37" s="1"/>
  <c r="M51" i="37"/>
  <c r="U51" i="37" s="1"/>
  <c r="M21" i="37"/>
  <c r="U21" i="37" s="1"/>
  <c r="M34" i="37"/>
  <c r="U34" i="37" s="1"/>
  <c r="M22" i="37"/>
  <c r="U22" i="37" s="1"/>
  <c r="M17" i="37"/>
  <c r="U17" i="37" s="1"/>
  <c r="M41" i="37"/>
  <c r="U41" i="37" s="1"/>
  <c r="M53" i="37"/>
  <c r="U53" i="37" s="1"/>
  <c r="M36" i="37"/>
  <c r="U36" i="37" s="1"/>
  <c r="M25" i="37"/>
  <c r="U25" i="37" s="1"/>
  <c r="M31" i="37"/>
  <c r="U31" i="37" s="1"/>
  <c r="M37" i="37"/>
  <c r="U37" i="37" s="1"/>
  <c r="M43" i="37"/>
  <c r="U43" i="37" s="1"/>
  <c r="M26" i="37"/>
  <c r="U26" i="37" s="1"/>
  <c r="M11" i="37"/>
  <c r="U11" i="37" s="1"/>
  <c r="M33" i="37"/>
  <c r="U33" i="37" s="1"/>
  <c r="U56" i="37"/>
  <c r="X56" i="37" s="1"/>
  <c r="M38" i="37"/>
  <c r="U38" i="37" s="1"/>
  <c r="M30" i="37"/>
  <c r="U30" i="37" s="1"/>
  <c r="M47" i="37"/>
  <c r="U47" i="37" s="1"/>
  <c r="M23" i="37"/>
  <c r="U23" i="37" s="1"/>
  <c r="M39" i="37"/>
  <c r="U39" i="37" s="1"/>
  <c r="M24" i="37"/>
  <c r="U24" i="37" s="1"/>
  <c r="M14" i="37"/>
  <c r="U14" i="37" s="1"/>
  <c r="M16" i="37"/>
  <c r="U16" i="37" s="1"/>
  <c r="M54" i="37"/>
  <c r="U54" i="37" s="1"/>
  <c r="M49" i="37"/>
  <c r="U49" i="37" s="1"/>
  <c r="M46" i="37"/>
  <c r="U46" i="37" s="1"/>
  <c r="M52" i="37"/>
  <c r="U52" i="37" s="1"/>
  <c r="K57" i="37"/>
  <c r="L57" i="37"/>
  <c r="M28" i="37"/>
  <c r="U28" i="37" s="1"/>
  <c r="M29" i="37"/>
  <c r="U29" i="37" s="1"/>
  <c r="F47" i="18"/>
  <c r="G19" i="32"/>
  <c r="X55" i="37" l="1"/>
  <c r="Y55" i="37" s="1"/>
  <c r="V55" i="37"/>
  <c r="V40" i="37"/>
  <c r="X40" i="37"/>
  <c r="Y40" i="37" s="1"/>
  <c r="Y56" i="37"/>
  <c r="X34" i="37"/>
  <c r="X49" i="37"/>
  <c r="X29" i="37"/>
  <c r="X18" i="37"/>
  <c r="X19" i="37"/>
  <c r="X46" i="37"/>
  <c r="X31" i="37"/>
  <c r="X42" i="37"/>
  <c r="X14" i="37"/>
  <c r="X53" i="37"/>
  <c r="X48" i="37"/>
  <c r="X32" i="37"/>
  <c r="X30" i="37"/>
  <c r="X25" i="37"/>
  <c r="X36" i="37"/>
  <c r="X33" i="37"/>
  <c r="X24" i="37"/>
  <c r="X11" i="37"/>
  <c r="X41" i="37"/>
  <c r="X13" i="37"/>
  <c r="X50" i="37"/>
  <c r="X47" i="37"/>
  <c r="X21" i="37"/>
  <c r="X38" i="37"/>
  <c r="X16" i="37"/>
  <c r="X28" i="37"/>
  <c r="X39" i="37"/>
  <c r="X26" i="37"/>
  <c r="X17" i="37"/>
  <c r="X27" i="37"/>
  <c r="X45" i="37"/>
  <c r="X37" i="37"/>
  <c r="X54" i="37"/>
  <c r="X51" i="37"/>
  <c r="X52" i="37"/>
  <c r="X23" i="37"/>
  <c r="X43" i="37"/>
  <c r="X22" i="37"/>
  <c r="X15" i="37"/>
  <c r="X44" i="37"/>
  <c r="U12" i="37"/>
  <c r="X12" i="37" s="1"/>
  <c r="U20" i="37"/>
  <c r="X20" i="37" s="1"/>
  <c r="V45" i="37"/>
  <c r="V27" i="37"/>
  <c r="V44" i="37"/>
  <c r="V50" i="37"/>
  <c r="V32" i="37"/>
  <c r="V15" i="37"/>
  <c r="V42" i="37"/>
  <c r="V19" i="37"/>
  <c r="V29" i="37"/>
  <c r="V28" i="37"/>
  <c r="V52" i="37"/>
  <c r="V46" i="37"/>
  <c r="V49" i="37"/>
  <c r="V54" i="37"/>
  <c r="V16" i="37"/>
  <c r="V14" i="37"/>
  <c r="V24" i="37"/>
  <c r="V39" i="37"/>
  <c r="V23" i="37"/>
  <c r="V47" i="37"/>
  <c r="V30" i="37"/>
  <c r="V38" i="37"/>
  <c r="V56" i="37"/>
  <c r="V33" i="37"/>
  <c r="V11" i="37"/>
  <c r="V26" i="37"/>
  <c r="V43" i="37"/>
  <c r="V37" i="37"/>
  <c r="V31" i="37"/>
  <c r="V25" i="37"/>
  <c r="V36" i="37"/>
  <c r="V53" i="37"/>
  <c r="V41" i="37"/>
  <c r="V17" i="37"/>
  <c r="V22" i="37"/>
  <c r="V34" i="37"/>
  <c r="V21" i="37"/>
  <c r="V51" i="37"/>
  <c r="V18" i="37"/>
  <c r="V48" i="37"/>
  <c r="V13" i="37"/>
  <c r="M57" i="37"/>
  <c r="H21" i="32"/>
  <c r="H22" i="32" s="1"/>
  <c r="H23" i="32" s="1"/>
  <c r="Y27" i="37" l="1"/>
  <c r="Y25" i="37"/>
  <c r="Y43" i="37"/>
  <c r="Y50" i="37"/>
  <c r="Y26" i="37"/>
  <c r="Y13" i="37"/>
  <c r="Y32" i="37"/>
  <c r="Y18" i="37"/>
  <c r="Y39" i="37"/>
  <c r="Y23" i="37"/>
  <c r="Y52" i="37"/>
  <c r="Y41" i="37"/>
  <c r="Y48" i="37"/>
  <c r="Y29" i="37"/>
  <c r="Y20" i="37"/>
  <c r="Y51" i="37"/>
  <c r="Y28" i="37"/>
  <c r="Y11" i="37"/>
  <c r="Y53" i="37"/>
  <c r="Y49" i="37"/>
  <c r="Y30" i="37"/>
  <c r="Y12" i="37"/>
  <c r="Y54" i="37"/>
  <c r="Y16" i="37"/>
  <c r="Y24" i="37"/>
  <c r="Y14" i="37"/>
  <c r="Y34" i="37"/>
  <c r="Y22" i="37"/>
  <c r="Y47" i="37"/>
  <c r="Y46" i="37"/>
  <c r="Y17" i="37"/>
  <c r="Y19" i="37"/>
  <c r="Y44" i="37"/>
  <c r="Y37" i="37"/>
  <c r="Y38" i="37"/>
  <c r="Y33" i="37"/>
  <c r="Y42" i="37"/>
  <c r="Y15" i="37"/>
  <c r="Y45" i="37"/>
  <c r="Y21" i="37"/>
  <c r="Y36" i="37"/>
  <c r="Y31" i="37"/>
  <c r="X57" i="37"/>
  <c r="V20" i="37"/>
  <c r="V12" i="37"/>
  <c r="U57" i="37"/>
  <c r="H37" i="32"/>
  <c r="Y57" i="37" l="1"/>
  <c r="V57" i="37"/>
  <c r="H38" i="32"/>
  <c r="H39" i="32"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<sst xmlns="http://schemas.openxmlformats.org/spreadsheetml/2006/main" count="13846" uniqueCount="1144">
  <si>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</si>
  <si>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</si>
  <si>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</si>
  <si>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</si>
  <si>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</si>
  <si>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</si>
  <si>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</si>
  <si>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</si>
  <si>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</si>
  <si>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</si>
  <si>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</si>
  <si>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</si>
  <si>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</si>
  <si>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</si>
  <si>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</si>
  <si>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</si>
  <si>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</si>
  <si>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</si>
  <si>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</si>
  <si>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</si>
  <si>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</si>
  <si>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</si>
  <si>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</si>
  <si>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</si>
  <si>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</si>
  <si>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P.Z. kosten</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</si>
  <si>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</si>
  <si>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</si>
  <si>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</si>
  <si>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</si>
  <si>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</si>
  <si>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</si>
  <si>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</si>
  <si>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</si>
  <si>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</si>
  <si>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</si>
  <si>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</si>
  <si>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2 lagen</t>
  </si>
  <si>
    <t>geheel</t>
  </si>
  <si>
    <t>Basisuurloon</t>
  </si>
  <si>
    <t>Bedrijfsgemiddelde</t>
  </si>
  <si>
    <t>Alle prijzen inclusief materialen en middelen, voorrijkosten en overige bijkomende kosten.</t>
  </si>
  <si>
    <t>Ziektedagen</t>
  </si>
  <si>
    <t>Prijs per jaar</t>
  </si>
  <si>
    <t>[zie premies en opslagen]</t>
  </si>
  <si>
    <t>Totaal eindtarief normale werktijden [06.00-21.30 uur]</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</si>
  <si>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</si>
  <si>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</si>
  <si>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</si>
  <si>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</si>
  <si>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</si>
  <si>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</si>
  <si>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</si>
  <si>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</si>
  <si>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</si>
  <si>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</si>
  <si>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</si>
  <si>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</si>
  <si>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</si>
  <si>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</si>
  <si>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</si>
  <si>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</si>
  <si>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</si>
  <si>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</si>
  <si>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</si>
  <si>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</si>
  <si>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</si>
  <si>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</si>
  <si>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</si>
  <si>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</si>
  <si>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</si>
  <si>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</si>
  <si>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</si>
  <si>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</si>
  <si>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</si>
  <si>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</si>
  <si>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</si>
  <si>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conserveren</t>
  </si>
  <si>
    <t>Lino-/marmoleum sprayen</t>
  </si>
  <si>
    <t>Steen/PVC schrobben</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</si>
  <si>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</si>
  <si>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</si>
  <si>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</si>
  <si>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</si>
  <si>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</si>
  <si>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</si>
  <si>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</si>
  <si>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</si>
  <si>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</si>
  <si>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</si>
  <si>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</si>
  <si>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</si>
  <si>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</si>
  <si>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</si>
  <si>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</si>
  <si>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</si>
  <si>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</si>
  <si>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</si>
  <si>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</si>
  <si>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</si>
  <si>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Linoleum</t>
  </si>
  <si>
    <t>Tegels</t>
  </si>
  <si>
    <t>Beton</t>
  </si>
  <si>
    <t>Locatie</t>
  </si>
  <si>
    <t>frequentie per jaar</t>
  </si>
  <si>
    <t>Kosten per beurt</t>
  </si>
  <si>
    <t>Adres</t>
  </si>
  <si>
    <t>Frequentie van uitvoering (per jaar):</t>
  </si>
  <si>
    <t>VSR Code</t>
  </si>
  <si>
    <t>Freq</t>
  </si>
  <si>
    <t>Norm ma t/m vr</t>
  </si>
  <si>
    <t>M² prijs</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</si>
  <si>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</si>
  <si>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</si>
  <si>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</si>
  <si>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</si>
  <si>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</si>
  <si>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</si>
  <si>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</si>
  <si>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</si>
  <si>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</si>
  <si>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</si>
  <si>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</si>
  <si>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</si>
  <si>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</si>
  <si>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</si>
  <si>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</si>
  <si>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</si>
  <si>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</si>
  <si>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</si>
  <si>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</si>
  <si>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</si>
  <si>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TOTAAL KOSTEN PER JAAR EXCLUSIEF BTW (REGULIER ONDERHOUD)</t>
  </si>
  <si>
    <t>TOTAAL KOSTEN PER JAAR EXCLUSIEF BTW (AANVULLENDE WERKZAAMHEDEN / EXTRA KOSTEN)</t>
  </si>
  <si>
    <t>EINDTOTAAL KOSTEN PER JAAR  EXCLUSIEF BTW</t>
  </si>
  <si>
    <t>Jaarprijs regulier schoonmaakonderhoud</t>
  </si>
  <si>
    <t>BEOORDELINGSBEDRAG</t>
  </si>
  <si>
    <t>18 jaar</t>
  </si>
  <si>
    <t>19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</si>
  <si>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</si>
  <si>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</si>
  <si>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</si>
  <si>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</si>
  <si>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</si>
  <si>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</si>
  <si>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</si>
  <si>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</si>
  <si>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</si>
  <si>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</si>
  <si>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</si>
  <si>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</si>
  <si>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Binnenzijde</t>
  </si>
  <si>
    <t>Buitenzijde</t>
  </si>
  <si>
    <t>Aantal m2</t>
  </si>
  <si>
    <t>Kosten bewassing per jaar</t>
  </si>
  <si>
    <t>Aantal of m2</t>
  </si>
  <si>
    <t>kosten per jaar</t>
  </si>
  <si>
    <t>Omschrijving werkzaamheden</t>
  </si>
  <si>
    <t>Merk en productlijn</t>
  </si>
  <si>
    <t>Omschrijving automaat /artikel</t>
  </si>
  <si>
    <t>Type omschrijving</t>
  </si>
  <si>
    <t>Vloerenonderhoud  (inclusief uit-/inruimen van het meubilair)</t>
  </si>
  <si>
    <t>Reinigen raambekleding</t>
  </si>
  <si>
    <t>Vitrage</t>
  </si>
  <si>
    <t>Overgordijnen</t>
  </si>
  <si>
    <t>Verticale lamellen stof</t>
  </si>
  <si>
    <t>Regietarieven</t>
  </si>
  <si>
    <t>Schoonmaakonderhoud</t>
  </si>
  <si>
    <t>Mits anders aangegeven is de uitvoering op reguliere werktijden: maandag t/m vrijdag [06.00 en 21.30 uur]</t>
  </si>
  <si>
    <t>Totaal m2</t>
  </si>
  <si>
    <t>Toezicht uren per jaar ma t/m vr</t>
  </si>
  <si>
    <t>Kosten Additioneel per jaar</t>
  </si>
  <si>
    <t>Kosten glasbewassing per jaar</t>
  </si>
  <si>
    <t>Totaal kosten per maand excl. btw</t>
  </si>
  <si>
    <t>Freq. ma-vr</t>
  </si>
  <si>
    <t>Kolom</t>
  </si>
  <si>
    <t>Kolom voor matrix</t>
  </si>
  <si>
    <t>Gewogen prestatie</t>
  </si>
  <si>
    <t>m2/uur</t>
  </si>
  <si>
    <t>nio</t>
  </si>
  <si>
    <t>Gemiddeld tarief inclusief toezicht</t>
  </si>
  <si>
    <t>M2 Totaal</t>
  </si>
  <si>
    <t>WGA</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</si>
  <si>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</si>
  <si>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</si>
  <si>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</si>
  <si>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</si>
  <si>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</si>
  <si>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</si>
  <si>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Administratieve ruimten</t>
  </si>
  <si>
    <t>Pantry/keuken</t>
  </si>
  <si>
    <t>Vergaderruimten</t>
  </si>
  <si>
    <t>Toezicht percentage per jaar ma t/m vr</t>
  </si>
  <si>
    <t>Kosten productie per jaar ma t/m vr</t>
  </si>
  <si>
    <t>Totaal kosten productie per jaar ma t/m vr</t>
  </si>
  <si>
    <t>Toezicht kosten per jaar ma t/m vr</t>
  </si>
  <si>
    <t xml:space="preserve">Kosten klein schaligheid per jaar ma t/m vr </t>
  </si>
  <si>
    <t>Gemiddeld tarief  ma t/m vr</t>
  </si>
  <si>
    <t>Tariefopbouw toezicht</t>
  </si>
  <si>
    <t>Tariefopbouw schoonmaak</t>
  </si>
  <si>
    <t>Gemiddeld tarief ma t/m vr</t>
  </si>
  <si>
    <t>Correctie factor ma t/m vr</t>
  </si>
  <si>
    <t>MAXIMALE ONDERGRENS INSCHRIJVINGSBEDRAG *</t>
  </si>
  <si>
    <t>* De inschrijver draagt er zorg voor dat de totstandkoming van het inschrijvingsbedrag overeenkomt met de onderliggende tabbladen. Indien dit niet het geval is wordt de inschrijving ongeldig verklaard.</t>
  </si>
  <si>
    <t>Kleinschalig heids uren ma t/m vrij</t>
  </si>
  <si>
    <t>RAS premie</t>
  </si>
  <si>
    <t>Frequentie verklaring</t>
  </si>
  <si>
    <t>MAXIMALE BOVENGRENS PLAFONDBEDRAG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</si>
  <si>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</si>
  <si>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</si>
  <si>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</si>
  <si>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</si>
  <si>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</si>
  <si>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Jaarprijs aanvullende werkzaamheden / extra kosten</t>
  </si>
  <si>
    <t>Frequentie per jaar</t>
  </si>
  <si>
    <t>Aan de opgegeven indicatieve eenheden kunnen geen rechten worden ontleend.</t>
  </si>
  <si>
    <t>Verticale lamellen metaal/kunststof</t>
  </si>
  <si>
    <t>Horizontale lamellen</t>
  </si>
  <si>
    <t>Berekening werkbare dagen</t>
  </si>
  <si>
    <t xml:space="preserve">Het aantal werkbare dagen per jaar is een gemiddelde over 5 jaar. Er vindt geen periodieke verrekening plaats in verband met schrikkeljaren. </t>
  </si>
  <si>
    <t>Elevantio</t>
  </si>
  <si>
    <t>Leslokaal</t>
  </si>
  <si>
    <t>Markt 1, Axel</t>
  </si>
  <si>
    <t>1 x per week (40 weken)</t>
  </si>
  <si>
    <t>2 x per week (40 weken)</t>
  </si>
  <si>
    <t>3 x per week (40 weken)</t>
  </si>
  <si>
    <t>Diepte reiniging sanitair</t>
  </si>
  <si>
    <t>t Mozaïek</t>
  </si>
  <si>
    <t>de Molenkreek</t>
  </si>
  <si>
    <t xml:space="preserve">t Geuzennest </t>
  </si>
  <si>
    <t xml:space="preserve">Op Dreef </t>
  </si>
  <si>
    <t>De Statie</t>
  </si>
  <si>
    <t>Laureyn</t>
  </si>
  <si>
    <r>
      <t xml:space="preserve">De Kameleon </t>
    </r>
    <r>
      <rPr>
        <i/>
        <sz val="10"/>
        <rFont val="Arial"/>
        <family val="2"/>
      </rPr>
      <t xml:space="preserve">       </t>
    </r>
  </si>
  <si>
    <t>De Parel</t>
  </si>
  <si>
    <t>De Twijn</t>
  </si>
  <si>
    <t>De Irisschool</t>
  </si>
  <si>
    <t xml:space="preserve">De Stelle </t>
  </si>
  <si>
    <t>Pr.W.v.Oranjeschool</t>
  </si>
  <si>
    <t>De Oude Vaart</t>
  </si>
  <si>
    <t>De Warande</t>
  </si>
  <si>
    <t>St. Antoniusschool</t>
  </si>
  <si>
    <t>De Vlaswiek</t>
  </si>
  <si>
    <t>De Kreeke</t>
  </si>
  <si>
    <t>Prinses Marijke</t>
  </si>
  <si>
    <t>De Torenberg</t>
  </si>
  <si>
    <t>de Driesprong</t>
  </si>
  <si>
    <t>De Oostvogel</t>
  </si>
  <si>
    <t>Ter Doest</t>
  </si>
  <si>
    <t>St. Bernardus</t>
  </si>
  <si>
    <t>t Vogelnest</t>
  </si>
  <si>
    <t>Heidepoort</t>
  </si>
  <si>
    <t>St. Willibrordus</t>
  </si>
  <si>
    <t>Nobelhorst</t>
  </si>
  <si>
    <t>Moerschans</t>
  </si>
  <si>
    <t>de Brug (Sbao)</t>
  </si>
  <si>
    <t>De Schakel</t>
  </si>
  <si>
    <t>Inghelosenberghe</t>
  </si>
  <si>
    <t>t Getij</t>
  </si>
  <si>
    <t>St. Jozef Nieuw Namen</t>
  </si>
  <si>
    <t>St. Jozef Eede</t>
  </si>
  <si>
    <t>De Steiger Groot</t>
  </si>
  <si>
    <t>De Steiger Klein</t>
  </si>
  <si>
    <t>De Wereldboom Sportlaan</t>
  </si>
  <si>
    <t>De Wereldboom Tabakstraat</t>
  </si>
  <si>
    <t>Kerkstraat 1 Eede</t>
  </si>
  <si>
    <t>meterkast</t>
  </si>
  <si>
    <t>toilet</t>
  </si>
  <si>
    <t>leslokaal 1</t>
  </si>
  <si>
    <t>toiletten 2</t>
  </si>
  <si>
    <t>toiletten 3</t>
  </si>
  <si>
    <t>werkkast 2</t>
  </si>
  <si>
    <t>berging 2</t>
  </si>
  <si>
    <t>gang 1</t>
  </si>
  <si>
    <t>portaal 2</t>
  </si>
  <si>
    <t>leslokaal 2</t>
  </si>
  <si>
    <t>leslokaal 3</t>
  </si>
  <si>
    <t>De Kameleon kinderdagopvang</t>
  </si>
  <si>
    <t>Inghelosenberghe kinderdagopvang</t>
  </si>
  <si>
    <t>Kinderdagopvang</t>
  </si>
  <si>
    <t>Slaapruimte</t>
  </si>
  <si>
    <t>Werkkast</t>
  </si>
  <si>
    <t>Berging</t>
  </si>
  <si>
    <t>Gang</t>
  </si>
  <si>
    <t>Portaal</t>
  </si>
  <si>
    <t>Kleuterlokaal</t>
  </si>
  <si>
    <t>Gang, hal, bibliotheek</t>
  </si>
  <si>
    <t>Trap</t>
  </si>
  <si>
    <t>Gemeenschappelijke ruimte</t>
  </si>
  <si>
    <t>Kantoor directie/kantine/vgz</t>
  </si>
  <si>
    <t>Pantry</t>
  </si>
  <si>
    <t xml:space="preserve">Toilet </t>
  </si>
  <si>
    <t>leermiddelen berging 2</t>
  </si>
  <si>
    <t>Leslokaal 4</t>
  </si>
  <si>
    <t>0.01</t>
  </si>
  <si>
    <t>0.02</t>
  </si>
  <si>
    <t>0.03</t>
  </si>
  <si>
    <t>Kantoor</t>
  </si>
  <si>
    <t>0.04</t>
  </si>
  <si>
    <t>Personeelsruimte</t>
  </si>
  <si>
    <t>0.04a</t>
  </si>
  <si>
    <t>0.05</t>
  </si>
  <si>
    <t>Toiletruimte</t>
  </si>
  <si>
    <t>0.06</t>
  </si>
  <si>
    <t>Toilet (MIVA)</t>
  </si>
  <si>
    <t>0.07</t>
  </si>
  <si>
    <t>0.08</t>
  </si>
  <si>
    <t>0.09</t>
  </si>
  <si>
    <t>0.9a</t>
  </si>
  <si>
    <t>0.10</t>
  </si>
  <si>
    <t>0.10a</t>
  </si>
  <si>
    <t>0.11</t>
  </si>
  <si>
    <t>0.12</t>
  </si>
  <si>
    <t>Opslag</t>
  </si>
  <si>
    <t>0.13</t>
  </si>
  <si>
    <t>0.14</t>
  </si>
  <si>
    <t>Technische ruimte</t>
  </si>
  <si>
    <t>0.15</t>
  </si>
  <si>
    <t>0.16</t>
  </si>
  <si>
    <t>0.17</t>
  </si>
  <si>
    <t>0.18</t>
  </si>
  <si>
    <t>0.19</t>
  </si>
  <si>
    <t>0.19a</t>
  </si>
  <si>
    <t>0.20</t>
  </si>
  <si>
    <t>0.20a</t>
  </si>
  <si>
    <t>0.21</t>
  </si>
  <si>
    <t>0.22</t>
  </si>
  <si>
    <t>0.22a</t>
  </si>
  <si>
    <t>0.23</t>
  </si>
  <si>
    <t>0.24</t>
  </si>
  <si>
    <t>0.25</t>
  </si>
  <si>
    <t>0.26</t>
  </si>
  <si>
    <t>Tapijt</t>
  </si>
  <si>
    <t>Gietvloer</t>
  </si>
  <si>
    <t>Laminaat</t>
  </si>
  <si>
    <t>PVC</t>
  </si>
  <si>
    <t>2</t>
  </si>
  <si>
    <t>1</t>
  </si>
  <si>
    <t>Hal</t>
  </si>
  <si>
    <t>0.02A</t>
  </si>
  <si>
    <t>0.03A</t>
  </si>
  <si>
    <t>Keuken</t>
  </si>
  <si>
    <t>0.03B</t>
  </si>
  <si>
    <t>Reproruimte</t>
  </si>
  <si>
    <t>Speelhoek</t>
  </si>
  <si>
    <t>0.12A</t>
  </si>
  <si>
    <t>CV-ruimte</t>
  </si>
  <si>
    <t>Speellokaal</t>
  </si>
  <si>
    <t>Toestellenberging</t>
  </si>
  <si>
    <t>Lift</t>
  </si>
  <si>
    <t>Teamkamer</t>
  </si>
  <si>
    <t>1.01</t>
  </si>
  <si>
    <t>1.02</t>
  </si>
  <si>
    <t>Computerruimte</t>
  </si>
  <si>
    <t>1.03</t>
  </si>
  <si>
    <t>1.04</t>
  </si>
  <si>
    <t>1.05</t>
  </si>
  <si>
    <t>1.06</t>
  </si>
  <si>
    <t>1.07</t>
  </si>
  <si>
    <t>1.08</t>
  </si>
  <si>
    <t>Terras</t>
  </si>
  <si>
    <t>1.09</t>
  </si>
  <si>
    <t>Studieruimte</t>
  </si>
  <si>
    <t>1.10</t>
  </si>
  <si>
    <t>1.11</t>
  </si>
  <si>
    <t>Concentratiewerkplek</t>
  </si>
  <si>
    <t>1.12</t>
  </si>
  <si>
    <t>1.13</t>
  </si>
  <si>
    <t>1.14</t>
  </si>
  <si>
    <t>1.15</t>
  </si>
  <si>
    <t>1.16</t>
  </si>
  <si>
    <t>1.17</t>
  </si>
  <si>
    <t>1.18</t>
  </si>
  <si>
    <t>Handvaardigheidslokaal</t>
  </si>
  <si>
    <t>1e</t>
  </si>
  <si>
    <t>Onbekend</t>
  </si>
  <si>
    <t>Sportvloer</t>
  </si>
  <si>
    <t>Rubbernoppen</t>
  </si>
  <si>
    <t>Hout</t>
  </si>
  <si>
    <t>Leermiddelenberging</t>
  </si>
  <si>
    <t>Multifunctionele ruimte</t>
  </si>
  <si>
    <t>Galerij</t>
  </si>
  <si>
    <t>berging</t>
  </si>
  <si>
    <t>1.11/AB</t>
  </si>
  <si>
    <t>1.12/ABC</t>
  </si>
  <si>
    <t>1.15/ABC</t>
  </si>
  <si>
    <t>1.19</t>
  </si>
  <si>
    <t>1.20</t>
  </si>
  <si>
    <t>1.21</t>
  </si>
  <si>
    <t>1.22</t>
  </si>
  <si>
    <t>1.23</t>
  </si>
  <si>
    <t>Serverruimte</t>
  </si>
  <si>
    <t>1.24</t>
  </si>
  <si>
    <t>1.25</t>
  </si>
  <si>
    <t>1.26</t>
  </si>
  <si>
    <t>1.27</t>
  </si>
  <si>
    <t>1.28</t>
  </si>
  <si>
    <t>1.29</t>
  </si>
  <si>
    <t>Sisal/tapijt</t>
  </si>
  <si>
    <t>Spreekruimte</t>
  </si>
  <si>
    <t>Kantoor directie</t>
  </si>
  <si>
    <t>Lokaal bovenbouw</t>
  </si>
  <si>
    <t>Toiletten</t>
  </si>
  <si>
    <t>0.18-0.19</t>
  </si>
  <si>
    <t>gang</t>
  </si>
  <si>
    <t>0.23-0.24</t>
  </si>
  <si>
    <t>0.27</t>
  </si>
  <si>
    <t>0.28</t>
  </si>
  <si>
    <t>0.29</t>
  </si>
  <si>
    <t>Schoonloopmat</t>
  </si>
  <si>
    <t>Marmoleum</t>
  </si>
  <si>
    <t>Rubber</t>
  </si>
  <si>
    <t>Bordes</t>
  </si>
  <si>
    <t>Receptie</t>
  </si>
  <si>
    <t>0.30</t>
  </si>
  <si>
    <t>0.31</t>
  </si>
  <si>
    <t>0.32</t>
  </si>
  <si>
    <t>0.33</t>
  </si>
  <si>
    <t>0.34</t>
  </si>
  <si>
    <t>unit</t>
  </si>
  <si>
    <t>Beton gecoat</t>
  </si>
  <si>
    <t>Laagfrequente lokalen</t>
  </si>
  <si>
    <t>L</t>
  </si>
  <si>
    <t>De Vlaswiek gymzaal</t>
  </si>
  <si>
    <t>De Twijn gezamenlijke deel</t>
  </si>
  <si>
    <t>Spoorstraat 40 Sluiskil</t>
  </si>
  <si>
    <t>Prinses Irenestraat 14 Schoondijke</t>
  </si>
  <si>
    <t>Braakmanlaan 14 Biervliet</t>
  </si>
  <si>
    <t>S01</t>
  </si>
  <si>
    <t>S02</t>
  </si>
  <si>
    <t>gang groepsruimten incl studiehoek</t>
  </si>
  <si>
    <t>S03</t>
  </si>
  <si>
    <t>S04</t>
  </si>
  <si>
    <t>S05</t>
  </si>
  <si>
    <t>gang kleuters</t>
  </si>
  <si>
    <t>S06</t>
  </si>
  <si>
    <t>S07</t>
  </si>
  <si>
    <t>Kleuterlokaal groep 1</t>
  </si>
  <si>
    <t>Kleuterlokaal groep 2</t>
  </si>
  <si>
    <t>S08</t>
  </si>
  <si>
    <t>S09</t>
  </si>
  <si>
    <t>S10</t>
  </si>
  <si>
    <t>S11</t>
  </si>
  <si>
    <t>S12</t>
  </si>
  <si>
    <t>kantoor ib</t>
  </si>
  <si>
    <t>kantoor directie</t>
  </si>
  <si>
    <t>S13</t>
  </si>
  <si>
    <t>S14</t>
  </si>
  <si>
    <t>S15</t>
  </si>
  <si>
    <t>S16</t>
  </si>
  <si>
    <t>S17</t>
  </si>
  <si>
    <t>werkkast</t>
  </si>
  <si>
    <t>toiletten</t>
  </si>
  <si>
    <t>S18</t>
  </si>
  <si>
    <t>S19</t>
  </si>
  <si>
    <t>S20</t>
  </si>
  <si>
    <t>S21</t>
  </si>
  <si>
    <t>S22</t>
  </si>
  <si>
    <t>S23</t>
  </si>
  <si>
    <t>S24</t>
  </si>
  <si>
    <t>S25</t>
  </si>
  <si>
    <t>leslokaal 3/4</t>
  </si>
  <si>
    <t>leslokaal 4/5</t>
  </si>
  <si>
    <t>leslokaal 6/7</t>
  </si>
  <si>
    <t>leslokaal 7/8</t>
  </si>
  <si>
    <t>gaderobe</t>
  </si>
  <si>
    <t>buitenberging</t>
  </si>
  <si>
    <t>Hennequinstraat 1 Aardenburg</t>
  </si>
  <si>
    <t xml:space="preserve">0.01 </t>
  </si>
  <si>
    <t>Centrale ruimte / schoolbibliotheek</t>
  </si>
  <si>
    <t>leslokaal</t>
  </si>
  <si>
    <t>toiletten kleuters</t>
  </si>
  <si>
    <t>entree gezamenlijk</t>
  </si>
  <si>
    <t>0.49</t>
  </si>
  <si>
    <t>kluis</t>
  </si>
  <si>
    <t>opslag</t>
  </si>
  <si>
    <t>0.50</t>
  </si>
  <si>
    <t>0.51</t>
  </si>
  <si>
    <t>0.52</t>
  </si>
  <si>
    <t>0.45</t>
  </si>
  <si>
    <t>lift</t>
  </si>
  <si>
    <t>trap</t>
  </si>
  <si>
    <t>0.46</t>
  </si>
  <si>
    <t>gang/leerplein</t>
  </si>
  <si>
    <t>patio/buitenlokaal</t>
  </si>
  <si>
    <t>1.01a/1.01</t>
  </si>
  <si>
    <t>Canadalaan 2b Sas van Gent</t>
  </si>
  <si>
    <t>Mosselbank 22 Philippine</t>
  </si>
  <si>
    <t>Leliestraat 26 Terneuzen</t>
  </si>
  <si>
    <t>entree</t>
  </si>
  <si>
    <t>copyruimte</t>
  </si>
  <si>
    <t>0.67</t>
  </si>
  <si>
    <t>berging bso</t>
  </si>
  <si>
    <t>0.66</t>
  </si>
  <si>
    <t>0.65</t>
  </si>
  <si>
    <t>BSO</t>
  </si>
  <si>
    <t>keuken</t>
  </si>
  <si>
    <t>0.64</t>
  </si>
  <si>
    <t>0.59</t>
  </si>
  <si>
    <t>berging psz</t>
  </si>
  <si>
    <t>0.58</t>
  </si>
  <si>
    <t>PSZ</t>
  </si>
  <si>
    <t>0.60</t>
  </si>
  <si>
    <t>0.62</t>
  </si>
  <si>
    <t>speellokaal BSO</t>
  </si>
  <si>
    <t>0.63</t>
  </si>
  <si>
    <t>Toiletruimte gedeelt met bso</t>
  </si>
  <si>
    <t>1.04a</t>
  </si>
  <si>
    <t>0.02/0.03</t>
  </si>
  <si>
    <t>0.44</t>
  </si>
  <si>
    <t>0.70</t>
  </si>
  <si>
    <t>0.69</t>
  </si>
  <si>
    <t>0.69a</t>
  </si>
  <si>
    <t>0.61</t>
  </si>
  <si>
    <t>Schelpenlaan 1C Terneuzen</t>
  </si>
  <si>
    <t>Prof. Zeemanstraat 216 Terneuzen</t>
  </si>
  <si>
    <t>Dagverblijf</t>
  </si>
  <si>
    <t>Slaapkamer</t>
  </si>
  <si>
    <t>0.13a</t>
  </si>
  <si>
    <t>Gang/garderobe</t>
  </si>
  <si>
    <t>0.13b</t>
  </si>
  <si>
    <t>0.35</t>
  </si>
  <si>
    <t>0.36</t>
  </si>
  <si>
    <t>0.37</t>
  </si>
  <si>
    <t>0.38</t>
  </si>
  <si>
    <t>0.40</t>
  </si>
  <si>
    <t>0.40A</t>
  </si>
  <si>
    <t>0.42</t>
  </si>
  <si>
    <t>0.43</t>
  </si>
  <si>
    <t>Voorraadruimte</t>
  </si>
  <si>
    <t>0.53</t>
  </si>
  <si>
    <t>0.54</t>
  </si>
  <si>
    <t>0.55</t>
  </si>
  <si>
    <t>0.56</t>
  </si>
  <si>
    <t>0.57</t>
  </si>
  <si>
    <t>Spreekkamer</t>
  </si>
  <si>
    <t>0.68</t>
  </si>
  <si>
    <t>Vergaderkamer</t>
  </si>
  <si>
    <t>0.39</t>
  </si>
  <si>
    <t>0.41</t>
  </si>
  <si>
    <t>0.47</t>
  </si>
  <si>
    <t>0.48</t>
  </si>
  <si>
    <t>Sloelaan 41, Terneuzen</t>
  </si>
  <si>
    <t>Meterkast</t>
  </si>
  <si>
    <t>0.20b</t>
  </si>
  <si>
    <t>Vinyl</t>
  </si>
  <si>
    <t>buiten berging/reparatie</t>
  </si>
  <si>
    <t xml:space="preserve">leslokaal </t>
  </si>
  <si>
    <t>Gymzaal</t>
  </si>
  <si>
    <t>leermidelen</t>
  </si>
  <si>
    <t xml:space="preserve">berging </t>
  </si>
  <si>
    <t>kleuterlokaal</t>
  </si>
  <si>
    <t>leermiddelen</t>
  </si>
  <si>
    <t>IB/RT/Schoolarts</t>
  </si>
  <si>
    <t>hal/gang</t>
  </si>
  <si>
    <t>hal ICT</t>
  </si>
  <si>
    <t>personeelsruimte</t>
  </si>
  <si>
    <t>IB</t>
  </si>
  <si>
    <t>garderobe</t>
  </si>
  <si>
    <t>kast</t>
  </si>
  <si>
    <t>gem. ruimte/verkeersruimte</t>
  </si>
  <si>
    <t>handenarbeid/overblijfruimte</t>
  </si>
  <si>
    <t>Merwedelaan 17 Terneuzen</t>
  </si>
  <si>
    <t>schoonloopmat</t>
  </si>
  <si>
    <t>zeil</t>
  </si>
  <si>
    <t>tegels</t>
  </si>
  <si>
    <t>Gemeenschappelijk deel Irisschool/parel</t>
  </si>
  <si>
    <t>Leslokaal (2 lokalen)</t>
  </si>
  <si>
    <t>Wagnerhof 3 Terneuzen</t>
  </si>
  <si>
    <t>1.2</t>
  </si>
  <si>
    <t>1.3</t>
  </si>
  <si>
    <t>hal</t>
  </si>
  <si>
    <t>1.38</t>
  </si>
  <si>
    <t xml:space="preserve">1.28 </t>
  </si>
  <si>
    <t>miva toilet</t>
  </si>
  <si>
    <t>1.21a</t>
  </si>
  <si>
    <t>berging gymzaal</t>
  </si>
  <si>
    <t>gymzaal</t>
  </si>
  <si>
    <t>1.1</t>
  </si>
  <si>
    <t>1.6</t>
  </si>
  <si>
    <t xml:space="preserve">beheerder? Kantoor? </t>
  </si>
  <si>
    <t>1.7</t>
  </si>
  <si>
    <t>kantoor</t>
  </si>
  <si>
    <t>1.8</t>
  </si>
  <si>
    <t>vluchttrap</t>
  </si>
  <si>
    <t>ict ruimte</t>
  </si>
  <si>
    <t>1.4</t>
  </si>
  <si>
    <t>1.5</t>
  </si>
  <si>
    <t>centrale hal</t>
  </si>
  <si>
    <t>2.1</t>
  </si>
  <si>
    <t>2.13</t>
  </si>
  <si>
    <t>2.12</t>
  </si>
  <si>
    <t>2.2</t>
  </si>
  <si>
    <t>2.3</t>
  </si>
  <si>
    <t>bibliotheek</t>
  </si>
  <si>
    <t>2.4</t>
  </si>
  <si>
    <t>2.5</t>
  </si>
  <si>
    <t>2.6</t>
  </si>
  <si>
    <t>2.7</t>
  </si>
  <si>
    <t>2.10</t>
  </si>
  <si>
    <t>2.11</t>
  </si>
  <si>
    <t>2.14</t>
  </si>
  <si>
    <t>2.13a</t>
  </si>
  <si>
    <t>Leeuwenlaan 29 Terneuzen</t>
  </si>
  <si>
    <t>Tochtportaal</t>
  </si>
  <si>
    <t>LOVK</t>
  </si>
  <si>
    <t>Bergkast</t>
  </si>
  <si>
    <t>Kitchenette</t>
  </si>
  <si>
    <t>Ontmoetingsruimte</t>
  </si>
  <si>
    <t>Vergader-Spreekruimte</t>
  </si>
  <si>
    <t>Kast</t>
  </si>
  <si>
    <t>Copyruimte</t>
  </si>
  <si>
    <t>Voorruimte toilet</t>
  </si>
  <si>
    <t>WM Ruimte</t>
  </si>
  <si>
    <t>liftruimte</t>
  </si>
  <si>
    <t>IB/RT Ruimte</t>
  </si>
  <si>
    <t>38a</t>
  </si>
  <si>
    <t>Techniek</t>
  </si>
  <si>
    <t>lovk</t>
  </si>
  <si>
    <t>Douche</t>
  </si>
  <si>
    <t>Buitenberging</t>
  </si>
  <si>
    <t>Container berging</t>
  </si>
  <si>
    <t>Concierge</t>
  </si>
  <si>
    <t>Buitenberging buurtvereniging</t>
  </si>
  <si>
    <t>Voorhof</t>
  </si>
  <si>
    <t>Binnenhof</t>
  </si>
  <si>
    <t>Voorruimte toiletten</t>
  </si>
  <si>
    <t xml:space="preserve">Spreekkamer </t>
  </si>
  <si>
    <t>1.9</t>
  </si>
  <si>
    <t>Liftruimte</t>
  </si>
  <si>
    <t>Werkkast technische ruimte</t>
  </si>
  <si>
    <t>Tamarindestraat 4 Terneuzen</t>
  </si>
  <si>
    <t>Burchtlaan 7 Axel</t>
  </si>
  <si>
    <t>0.18a</t>
  </si>
  <si>
    <t xml:space="preserve">hal en trap </t>
  </si>
  <si>
    <t>leidster</t>
  </si>
  <si>
    <t>hal incl pantry</t>
  </si>
  <si>
    <t>1.04b</t>
  </si>
  <si>
    <t>1.04c</t>
  </si>
  <si>
    <t>hal 2</t>
  </si>
  <si>
    <t>1.13a</t>
  </si>
  <si>
    <t>hal 3</t>
  </si>
  <si>
    <t>Oud Oosteinde 2 Axel</t>
  </si>
  <si>
    <t>Eikenlaan 22 Koewacht</t>
  </si>
  <si>
    <t>Werkplaats</t>
  </si>
  <si>
    <t>Kleedruimte</t>
  </si>
  <si>
    <t>0.28a</t>
  </si>
  <si>
    <t>0.29a</t>
  </si>
  <si>
    <t>0.33a</t>
  </si>
  <si>
    <t>Pulastic</t>
  </si>
  <si>
    <t>Singel 43 Westdorpe</t>
  </si>
  <si>
    <t>Overblijfruimte door ouders onderhouden</t>
  </si>
  <si>
    <t>Garderobe</t>
  </si>
  <si>
    <t>0.01a</t>
  </si>
  <si>
    <t>0.02a</t>
  </si>
  <si>
    <t>0.03a</t>
  </si>
  <si>
    <t>Buitenschoolse opvang</t>
  </si>
  <si>
    <t>0.16a</t>
  </si>
  <si>
    <t>0.19b</t>
  </si>
  <si>
    <t>0.19c</t>
  </si>
  <si>
    <t>Toiletruimte MIVA</t>
  </si>
  <si>
    <t>0.22b</t>
  </si>
  <si>
    <t>0.22c</t>
  </si>
  <si>
    <t>0.22d</t>
  </si>
  <si>
    <t>0.22e</t>
  </si>
  <si>
    <t>0.22f</t>
  </si>
  <si>
    <t>0.22g</t>
  </si>
  <si>
    <t>0.22h</t>
  </si>
  <si>
    <t>0.22i</t>
  </si>
  <si>
    <t>0.23a</t>
  </si>
  <si>
    <t>Toiletruimte personeel</t>
  </si>
  <si>
    <t>0.26a</t>
  </si>
  <si>
    <t>Steen</t>
  </si>
  <si>
    <t>Marijkestraat 1 Axel</t>
  </si>
  <si>
    <t>toiletruimte incl gang</t>
  </si>
  <si>
    <t>B0.01</t>
  </si>
  <si>
    <t>B0.02</t>
  </si>
  <si>
    <t>B0.03</t>
  </si>
  <si>
    <t>B0.04</t>
  </si>
  <si>
    <t>B0.05</t>
  </si>
  <si>
    <t>B0.06</t>
  </si>
  <si>
    <t>B0.07</t>
  </si>
  <si>
    <t>B0.08</t>
  </si>
  <si>
    <t>B0.09</t>
  </si>
  <si>
    <t>B0.10</t>
  </si>
  <si>
    <t>B0.11</t>
  </si>
  <si>
    <t>B0.12</t>
  </si>
  <si>
    <t>B0.13</t>
  </si>
  <si>
    <t>B0.14</t>
  </si>
  <si>
    <t>B0.15</t>
  </si>
  <si>
    <t>B0.16</t>
  </si>
  <si>
    <t>B0.17</t>
  </si>
  <si>
    <t>B0.18</t>
  </si>
  <si>
    <t>B0.19</t>
  </si>
  <si>
    <t>B0.20</t>
  </si>
  <si>
    <t>B0.21</t>
  </si>
  <si>
    <t>B0.22</t>
  </si>
  <si>
    <t>B0.23</t>
  </si>
  <si>
    <t>B0.24</t>
  </si>
  <si>
    <t>B0.25</t>
  </si>
  <si>
    <t>B0.26</t>
  </si>
  <si>
    <t>B0.27</t>
  </si>
  <si>
    <t>douche</t>
  </si>
  <si>
    <t>B0.28</t>
  </si>
  <si>
    <t>B0.29</t>
  </si>
  <si>
    <t>B0.30</t>
  </si>
  <si>
    <t>B0.31</t>
  </si>
  <si>
    <t>Brouwerijstraat 5 Zaamslag</t>
  </si>
  <si>
    <t>Narcissenlaan 37 Hoek</t>
  </si>
  <si>
    <t>Vergaderruimte</t>
  </si>
  <si>
    <t>Peuterspeelzaal</t>
  </si>
  <si>
    <t>BSO (DETHON)</t>
  </si>
  <si>
    <t>0.16A</t>
  </si>
  <si>
    <t>Toiletruimte (DETHON)</t>
  </si>
  <si>
    <t>0.12a</t>
  </si>
  <si>
    <t>0.03/AB</t>
  </si>
  <si>
    <t>0.04/AB</t>
  </si>
  <si>
    <t>0.13/A</t>
  </si>
  <si>
    <t>0.16/AB</t>
  </si>
  <si>
    <t>0.20/AB</t>
  </si>
  <si>
    <t>0.24/AB</t>
  </si>
  <si>
    <t>Speelhoek verhuur</t>
  </si>
  <si>
    <t>Leslokaal verhuur</t>
  </si>
  <si>
    <t>0.08a</t>
  </si>
  <si>
    <t>0.15a</t>
  </si>
  <si>
    <t>0.21a</t>
  </si>
  <si>
    <t>0.4</t>
  </si>
  <si>
    <t>0.1</t>
  </si>
  <si>
    <t>0.5</t>
  </si>
  <si>
    <t>0.7</t>
  </si>
  <si>
    <t>Bibliotheek</t>
  </si>
  <si>
    <t>0.6</t>
  </si>
  <si>
    <t>0.9</t>
  </si>
  <si>
    <t>0.8</t>
  </si>
  <si>
    <t>pvc</t>
  </si>
  <si>
    <t>Flotex</t>
  </si>
  <si>
    <t>Sportlaan 18 Hulst</t>
  </si>
  <si>
    <t>Tabakstraat 24 Hulst</t>
  </si>
  <si>
    <t>Past. Willemsstraat 15 Lamswaarde</t>
  </si>
  <si>
    <t>Jacintastraat 1 Graauw</t>
  </si>
  <si>
    <t>Kon. Julianastraat 41 Clinge</t>
  </si>
  <si>
    <t>Hengstdijkse Kerkstraat 15A Hengstdijk</t>
  </si>
  <si>
    <t>Cuwaertstraat 2 Nieuw Namen</t>
  </si>
  <si>
    <t>Margrietstraat 2 Heikant</t>
  </si>
  <si>
    <t>Overblijfruimte</t>
  </si>
  <si>
    <t>Tussenruimte</t>
  </si>
  <si>
    <t>Prince Bolwerk 2 Hulst</t>
  </si>
  <si>
    <t>toestellenberging</t>
  </si>
  <si>
    <t>kleedkamers heren</t>
  </si>
  <si>
    <t>kleedkamers dames</t>
  </si>
  <si>
    <t>berging TTVReynaert</t>
  </si>
  <si>
    <t>toilet en portaal</t>
  </si>
  <si>
    <t>0.09/0.10</t>
  </si>
  <si>
    <t>0.07/0.08</t>
  </si>
  <si>
    <t>hal met trap</t>
  </si>
  <si>
    <t>leslokaal natte hoek</t>
  </si>
  <si>
    <t>0.31/0.32</t>
  </si>
  <si>
    <t>toilet miva</t>
  </si>
  <si>
    <t>0.36/0.37</t>
  </si>
  <si>
    <t>gang met veel computers</t>
  </si>
  <si>
    <t>zolder</t>
  </si>
  <si>
    <t>1.00</t>
  </si>
  <si>
    <t>Vondelstraat 1 Hulst</t>
  </si>
  <si>
    <t>speellokaal</t>
  </si>
  <si>
    <t>toilet en douche</t>
  </si>
  <si>
    <t>spreekkamer</t>
  </si>
  <si>
    <t>gemeenschappelijke ruimte</t>
  </si>
  <si>
    <t>Liniestraat 100 Hulst</t>
  </si>
  <si>
    <t>ict lokaal</t>
  </si>
  <si>
    <t>lokaal 6</t>
  </si>
  <si>
    <t>sanitair</t>
  </si>
  <si>
    <t>lokaal 5</t>
  </si>
  <si>
    <t>lokaal 4</t>
  </si>
  <si>
    <t>gemeensch ruimte 1</t>
  </si>
  <si>
    <t>lokaal 3</t>
  </si>
  <si>
    <t>lokaal 2</t>
  </si>
  <si>
    <t xml:space="preserve">lokaal 1 </t>
  </si>
  <si>
    <t>gemeensch ruimte 2</t>
  </si>
  <si>
    <t>lokaal 7</t>
  </si>
  <si>
    <t>lokaal  8</t>
  </si>
  <si>
    <t>gemeensch.ruimte</t>
  </si>
  <si>
    <t>patio buitenruimte</t>
  </si>
  <si>
    <t>Koolstraat 17 Hulst</t>
  </si>
  <si>
    <t>0.17a</t>
  </si>
  <si>
    <t>0.17b</t>
  </si>
  <si>
    <t>0.26b</t>
  </si>
  <si>
    <t>0.1A</t>
  </si>
  <si>
    <t>0.1B</t>
  </si>
  <si>
    <t>0.1C</t>
  </si>
  <si>
    <t>0.2</t>
  </si>
  <si>
    <t>0.2A</t>
  </si>
  <si>
    <t>0.2B</t>
  </si>
  <si>
    <t>0.3A</t>
  </si>
  <si>
    <t>0.2C</t>
  </si>
  <si>
    <t>0.3</t>
  </si>
  <si>
    <t>0.14D</t>
  </si>
  <si>
    <t>0.14E</t>
  </si>
  <si>
    <t>0.14F</t>
  </si>
  <si>
    <t>0.14A</t>
  </si>
  <si>
    <t>0.14B</t>
  </si>
  <si>
    <t>0.14C</t>
  </si>
  <si>
    <t>Patio</t>
  </si>
  <si>
    <t>Inloopmat</t>
  </si>
  <si>
    <t>Bestrating</t>
  </si>
  <si>
    <t>Populierenstraat 39 Vogelwaarde</t>
  </si>
  <si>
    <t>Badhuisweg 11 Sint Jansteen</t>
  </si>
  <si>
    <t>Gedeelde entree</t>
  </si>
  <si>
    <t>leereiland</t>
  </si>
  <si>
    <t>lokaal gr. 2</t>
  </si>
  <si>
    <t>tochtsluis</t>
  </si>
  <si>
    <t>15a</t>
  </si>
  <si>
    <t>noodtrap</t>
  </si>
  <si>
    <t>berging gr 2</t>
  </si>
  <si>
    <t>lokaal gr. 1</t>
  </si>
  <si>
    <t>berging gr. 1</t>
  </si>
  <si>
    <t>serverruimte</t>
  </si>
  <si>
    <t>berging/werkkast</t>
  </si>
  <si>
    <t>tech. ruimte</t>
  </si>
  <si>
    <t>lokaal gr. 3</t>
  </si>
  <si>
    <t>berging gr. 3</t>
  </si>
  <si>
    <t>leerplein</t>
  </si>
  <si>
    <t>lokaal gr. 4</t>
  </si>
  <si>
    <t>berging gr. 4</t>
  </si>
  <si>
    <t>noodrrappenhuis</t>
  </si>
  <si>
    <t>lokaal gr. 5</t>
  </si>
  <si>
    <t>berging gr. 5</t>
  </si>
  <si>
    <t>lokaal gr. 6</t>
  </si>
  <si>
    <t>berging gr. 6</t>
  </si>
  <si>
    <t>lokaal gr. 7</t>
  </si>
  <si>
    <t>berging gr. 7</t>
  </si>
  <si>
    <t>wissellokaal</t>
  </si>
  <si>
    <t>lokaal gr. 8</t>
  </si>
  <si>
    <t>berging gr. 8</t>
  </si>
  <si>
    <t>9a</t>
  </si>
  <si>
    <t>slaapruimte</t>
  </si>
  <si>
    <t>9b</t>
  </si>
  <si>
    <t>berging kdv</t>
  </si>
  <si>
    <t>pantry</t>
  </si>
  <si>
    <t>peuterspeelzaal</t>
  </si>
  <si>
    <t>nooduitgang</t>
  </si>
  <si>
    <t>buitenschoolse opvang</t>
  </si>
  <si>
    <t>mk</t>
  </si>
  <si>
    <t>wasruimte</t>
  </si>
  <si>
    <t>0.25a</t>
  </si>
  <si>
    <t>Podium</t>
  </si>
  <si>
    <t>0.25b</t>
  </si>
  <si>
    <t>0.51a</t>
  </si>
  <si>
    <t>marmoleum</t>
  </si>
  <si>
    <t>Oosthof 1 Kloosterzande</t>
  </si>
  <si>
    <t>technische ruimte</t>
  </si>
  <si>
    <t>handvaardigheidslokaal/bibliotheek</t>
  </si>
  <si>
    <t>studieruimte</t>
  </si>
  <si>
    <t>Centrale hal incl meubilair</t>
  </si>
  <si>
    <t>Hal met meubilair</t>
  </si>
  <si>
    <t>teamkamer + keuken</t>
  </si>
  <si>
    <t>3 vides met werkplekken leerlingen</t>
  </si>
  <si>
    <t>Gang met meubilair</t>
  </si>
  <si>
    <t>Multifunctionele ruimte/gang</t>
  </si>
  <si>
    <t>Kantoor/berging</t>
  </si>
  <si>
    <t>Handvaardigheidslokaal extern enkel vloer</t>
  </si>
  <si>
    <t>Toilet</t>
  </si>
  <si>
    <t>Opslagruimten/technische ruimten</t>
  </si>
  <si>
    <t>multifunctionele ruimte</t>
  </si>
  <si>
    <t>teamkamer</t>
  </si>
  <si>
    <t>kantoor direc</t>
  </si>
  <si>
    <t>Gemeenschappelijke ruimte m2 gedeeld door 2</t>
  </si>
  <si>
    <t>Gang met computers</t>
  </si>
  <si>
    <t>leslokaal met schuifwand naar lokaal 13</t>
  </si>
  <si>
    <t>Gemeenschappelijke ruimte met meubels</t>
  </si>
  <si>
    <t>nood lokaal</t>
  </si>
  <si>
    <t>Toiletruimte laag gebruik</t>
  </si>
  <si>
    <t>handvaardigheidslokaal</t>
  </si>
  <si>
    <t xml:space="preserve">kantoor ib </t>
  </si>
  <si>
    <t>Toiletruimte niet in gebruik</t>
  </si>
  <si>
    <t>Toiletruimte  1 ruimte geworden met 22h</t>
  </si>
  <si>
    <t>Productie urenma t/m vr</t>
  </si>
  <si>
    <t>Minimale taakgrootte</t>
  </si>
  <si>
    <t>uur/beurt</t>
  </si>
  <si>
    <t>Hoogste frequentie</t>
  </si>
  <si>
    <t>Schoon maak programma</t>
  </si>
  <si>
    <t>Eigen beheer</t>
  </si>
  <si>
    <t>Niet in onderhoud</t>
  </si>
  <si>
    <t>Kosten dienstverlener</t>
  </si>
  <si>
    <t>Brinnr.</t>
  </si>
  <si>
    <t>Cluster</t>
  </si>
  <si>
    <t>03NH</t>
  </si>
  <si>
    <t>West</t>
  </si>
  <si>
    <t>03SE</t>
  </si>
  <si>
    <t>10FX</t>
  </si>
  <si>
    <t>13ST</t>
  </si>
  <si>
    <t>16UQ</t>
  </si>
  <si>
    <t>18FH</t>
  </si>
  <si>
    <t>18HP</t>
  </si>
  <si>
    <t>08JW</t>
  </si>
  <si>
    <t>Terneuzen</t>
  </si>
  <si>
    <t>10YW</t>
  </si>
  <si>
    <t>12YE</t>
  </si>
  <si>
    <t>11ZE</t>
  </si>
  <si>
    <t>13DO</t>
  </si>
  <si>
    <t>13IZ</t>
  </si>
  <si>
    <t>13NZ</t>
  </si>
  <si>
    <t>04PL</t>
  </si>
  <si>
    <t>Terneuzen kernen</t>
  </si>
  <si>
    <t>13JL</t>
  </si>
  <si>
    <t>06ZF</t>
  </si>
  <si>
    <t>10IW</t>
  </si>
  <si>
    <t>06LD</t>
  </si>
  <si>
    <t>08DX</t>
  </si>
  <si>
    <t>04VM</t>
  </si>
  <si>
    <t>Oost</t>
  </si>
  <si>
    <t>14VO</t>
  </si>
  <si>
    <t>03NR</t>
  </si>
  <si>
    <t>03EE</t>
  </si>
  <si>
    <t>08NA</t>
  </si>
  <si>
    <t>17JM</t>
  </si>
  <si>
    <t>10WQ</t>
  </si>
  <si>
    <t>10FL</t>
  </si>
  <si>
    <t>03QB</t>
  </si>
  <si>
    <t>06XE</t>
  </si>
  <si>
    <t>09KH</t>
  </si>
  <si>
    <t>18GS</t>
  </si>
  <si>
    <t>03SG</t>
  </si>
  <si>
    <t>03PN</t>
  </si>
  <si>
    <t>13EC</t>
  </si>
  <si>
    <t>Optioneel</t>
  </si>
  <si>
    <t>opvanglokaal</t>
  </si>
  <si>
    <t>sanitair kinderen</t>
  </si>
  <si>
    <t>sanitair personeel</t>
  </si>
  <si>
    <t>slaapkamer</t>
  </si>
  <si>
    <t xml:space="preserve">De Kameleon        </t>
  </si>
  <si>
    <t>hout</t>
  </si>
  <si>
    <t>noppenrubber</t>
  </si>
  <si>
    <t>tarket</t>
  </si>
  <si>
    <t>hout/tapijt</t>
  </si>
  <si>
    <t>beton</t>
  </si>
  <si>
    <t>Norm sprayen</t>
  </si>
  <si>
    <t>Norm conserveren</t>
  </si>
  <si>
    <t>Norm machinaal schrobben</t>
  </si>
  <si>
    <t>Tarief sprayen</t>
  </si>
  <si>
    <t>Tarief machinaal schrobben</t>
  </si>
  <si>
    <t>Tarief conserveren</t>
  </si>
  <si>
    <t>m2 t.b.v. sprayen/ conserveren</t>
  </si>
  <si>
    <t>Uren per jaar sprayen</t>
  </si>
  <si>
    <t>Kosten per jaar sprayen</t>
  </si>
  <si>
    <t>Uren per beurt conserveren</t>
  </si>
  <si>
    <t>Freq. per jaar conserveren</t>
  </si>
  <si>
    <t>Uren per jaar conserveren</t>
  </si>
  <si>
    <t>Kosten per beurt/jaar conserveren</t>
  </si>
  <si>
    <t>Uren per beurt schrobben</t>
  </si>
  <si>
    <t>Kosten per jaar schrobben</t>
  </si>
  <si>
    <t>Alle prijzen zijn inclusief materialen en middelen, voorrijkosten en overige bijkomende kosten.</t>
  </si>
  <si>
    <t>Vloer</t>
  </si>
  <si>
    <t>Schrobben</t>
  </si>
  <si>
    <t>Sprayen/ conserveren</t>
  </si>
  <si>
    <t>Tegels sanitair</t>
  </si>
  <si>
    <t>Gietvloer sanitair</t>
  </si>
  <si>
    <t>Handeling periodiek vloeronderhoud</t>
  </si>
  <si>
    <t>n.v.t.</t>
  </si>
  <si>
    <t>M2</t>
  </si>
  <si>
    <t>Type periodiek vloeronderhoud</t>
  </si>
  <si>
    <t>m2 sprayen/ conserveren</t>
  </si>
  <si>
    <t>m2 schrobben</t>
  </si>
  <si>
    <t>Kosten sprayen per jaar</t>
  </si>
  <si>
    <t>Kosten conserveren per jaar</t>
  </si>
  <si>
    <t>Kosten schrobben per jaar</t>
  </si>
  <si>
    <t>zie kwaliteitsontwerp</t>
  </si>
  <si>
    <t>Linoleum sanitair</t>
  </si>
  <si>
    <t>PVC sanitair</t>
  </si>
  <si>
    <t>zeil sanitair</t>
  </si>
  <si>
    <t>m2 tapijt reinigen</t>
  </si>
  <si>
    <t>Sproei/extraheren</t>
  </si>
  <si>
    <t>Norm sproei/extraheren</t>
  </si>
  <si>
    <t>Tarief sproei/extraheren</t>
  </si>
  <si>
    <t>Uren per beurt sproei/ extraheren</t>
  </si>
  <si>
    <t>Freq. per jaar sproei/ extraheren</t>
  </si>
  <si>
    <t>Uren per jaar sproei/ extraheren</t>
  </si>
  <si>
    <t>Kosten per beurt sproei/ extraheren</t>
  </si>
  <si>
    <t>Kosten per jaar sproei/ extraheren</t>
  </si>
  <si>
    <t>m2 t.b.v. sproei/ extraheren</t>
  </si>
  <si>
    <t>Kosten sproei/ extraheren per jaar</t>
  </si>
  <si>
    <t>MFC Aardenburg</t>
  </si>
  <si>
    <t>Centrale ruimte school bibliotheek</t>
  </si>
  <si>
    <t xml:space="preserve">0.02 </t>
  </si>
  <si>
    <t xml:space="preserve">Lokaal </t>
  </si>
  <si>
    <t xml:space="preserve">Sanitair kleuters </t>
  </si>
  <si>
    <t xml:space="preserve">Ruimte IB-er </t>
  </si>
  <si>
    <t xml:space="preserve">MK </t>
  </si>
  <si>
    <t xml:space="preserve">Entree gymzaal </t>
  </si>
  <si>
    <t xml:space="preserve">Entree/ gang dorpshuis </t>
  </si>
  <si>
    <t xml:space="preserve">Bijkeuken/ opslag </t>
  </si>
  <si>
    <t xml:space="preserve">Vergader- ruimte </t>
  </si>
  <si>
    <t xml:space="preserve">Kleine zaal </t>
  </si>
  <si>
    <t xml:space="preserve">Bar/ foyer </t>
  </si>
  <si>
    <t xml:space="preserve">MIVA </t>
  </si>
  <si>
    <t xml:space="preserve">Sanitair D. </t>
  </si>
  <si>
    <t xml:space="preserve">Sanitair H. </t>
  </si>
  <si>
    <t xml:space="preserve">0.17a </t>
  </si>
  <si>
    <t xml:space="preserve">Werkkast </t>
  </si>
  <si>
    <t xml:space="preserve">0.17b </t>
  </si>
  <si>
    <t xml:space="preserve">Berg. </t>
  </si>
  <si>
    <t xml:space="preserve">Berging </t>
  </si>
  <si>
    <t xml:space="preserve">0.19 </t>
  </si>
  <si>
    <t xml:space="preserve">Grote zaal </t>
  </si>
  <si>
    <t xml:space="preserve">Sporthal </t>
  </si>
  <si>
    <t xml:space="preserve">Toestelberging </t>
  </si>
  <si>
    <t xml:space="preserve">Kleedruimte H </t>
  </si>
  <si>
    <t xml:space="preserve">Doucheruimte D </t>
  </si>
  <si>
    <t xml:space="preserve">0.28 </t>
  </si>
  <si>
    <t xml:space="preserve">Toil. D </t>
  </si>
  <si>
    <t xml:space="preserve">0.29 </t>
  </si>
  <si>
    <t xml:space="preserve">Kleedruimte D </t>
  </si>
  <si>
    <t xml:space="preserve">Toilet H </t>
  </si>
  <si>
    <t xml:space="preserve">Wasruimte </t>
  </si>
  <si>
    <t xml:space="preserve">Doucheruimte H </t>
  </si>
  <si>
    <t xml:space="preserve">Slaapkamer </t>
  </si>
  <si>
    <t xml:space="preserve">Kinderdag- verblijf groep </t>
  </si>
  <si>
    <t xml:space="preserve">Sanitair PSZ/KDV </t>
  </si>
  <si>
    <t xml:space="preserve">Peutel- speelzaal </t>
  </si>
  <si>
    <t xml:space="preserve">Entree bovenbouw </t>
  </si>
  <si>
    <t xml:space="preserve">Entree KDV/PSZ/BSO </t>
  </si>
  <si>
    <t xml:space="preserve">Gang KDV/   PSZ /BSO </t>
  </si>
  <si>
    <t xml:space="preserve">Werk-/Spreekkamer </t>
  </si>
  <si>
    <t xml:space="preserve">BSO </t>
  </si>
  <si>
    <t xml:space="preserve">Lift </t>
  </si>
  <si>
    <t xml:space="preserve">Sanitair pers. </t>
  </si>
  <si>
    <t xml:space="preserve">Sanitair BSO  </t>
  </si>
  <si>
    <t xml:space="preserve">Entree </t>
  </si>
  <si>
    <t xml:space="preserve">Werkkamer directie </t>
  </si>
  <si>
    <t xml:space="preserve">Kluis </t>
  </si>
  <si>
    <t xml:space="preserve">Opslag </t>
  </si>
  <si>
    <t xml:space="preserve">1e </t>
  </si>
  <si>
    <t xml:space="preserve">1.01 </t>
  </si>
  <si>
    <t xml:space="preserve">Gangzone/ Leerplein </t>
  </si>
  <si>
    <t xml:space="preserve">1.01a </t>
  </si>
  <si>
    <t xml:space="preserve">1.02 </t>
  </si>
  <si>
    <t xml:space="preserve">1.03 </t>
  </si>
  <si>
    <t xml:space="preserve">Techniek </t>
  </si>
  <si>
    <t xml:space="preserve">Techniek buiten </t>
  </si>
  <si>
    <t xml:space="preserve">Server </t>
  </si>
  <si>
    <t xml:space="preserve">Repro </t>
  </si>
  <si>
    <t xml:space="preserve">Patio/ buitenlokaal </t>
  </si>
  <si>
    <t xml:space="preserve">Teamkamer </t>
  </si>
  <si>
    <t xml:space="preserve">Spreekkamer/ ruimte derden </t>
  </si>
  <si>
    <t>Lichtkoepel binnenzijde</t>
  </si>
  <si>
    <t>Lichtkoepel buitenzijde</t>
  </si>
  <si>
    <t>Separatieglas enkelzijdig</t>
  </si>
  <si>
    <t>Algemeen</t>
  </si>
  <si>
    <t>Conserveren kozijnen</t>
  </si>
  <si>
    <t>Afwerking</t>
  </si>
  <si>
    <t>Kunstof</t>
  </si>
  <si>
    <t>Metaal</t>
  </si>
  <si>
    <t>Prijs p/m1 excl. btw</t>
  </si>
  <si>
    <t>Kleinschaligheidstoeslag</t>
  </si>
  <si>
    <t>0 - 10 stuks</t>
  </si>
  <si>
    <t>10 - 30 stuks</t>
  </si>
  <si>
    <t>30 --&gt;&gt; stuks</t>
  </si>
  <si>
    <t>Totaal kosten per jaar incl. btw</t>
  </si>
  <si>
    <t>14ZL</t>
  </si>
  <si>
    <t>tapijt</t>
  </si>
  <si>
    <t>G1.2</t>
  </si>
  <si>
    <t>G1.5</t>
  </si>
  <si>
    <t>S2.1</t>
  </si>
  <si>
    <t>S2.2</t>
  </si>
  <si>
    <t>S1</t>
  </si>
  <si>
    <t>S2</t>
  </si>
  <si>
    <t>S3.1</t>
  </si>
  <si>
    <t>kleedruimte</t>
  </si>
  <si>
    <t>S3.2</t>
  </si>
  <si>
    <t>S4.1</t>
  </si>
  <si>
    <t>douches</t>
  </si>
  <si>
    <t>S4.2</t>
  </si>
  <si>
    <t>S5.1</t>
  </si>
  <si>
    <t>S5.2</t>
  </si>
  <si>
    <t>S6.1</t>
  </si>
  <si>
    <t>S6.2</t>
  </si>
  <si>
    <t>bg</t>
  </si>
  <si>
    <t>K1.1</t>
  </si>
  <si>
    <t>Groepsruimte</t>
  </si>
  <si>
    <t>P1</t>
  </si>
  <si>
    <t>K1.2</t>
  </si>
  <si>
    <t>K6.1</t>
  </si>
  <si>
    <t>K6.2</t>
  </si>
  <si>
    <t>K6.3</t>
  </si>
  <si>
    <t>K6.4</t>
  </si>
  <si>
    <t>K2.1/P2.1</t>
  </si>
  <si>
    <t>toiletruimte</t>
  </si>
  <si>
    <t>K2.2/P2.2</t>
  </si>
  <si>
    <t>K2.3/P2.3</t>
  </si>
  <si>
    <t>K4</t>
  </si>
  <si>
    <t>waruimte</t>
  </si>
  <si>
    <t>P5/K7</t>
  </si>
  <si>
    <t>administratie</t>
  </si>
  <si>
    <t>P6.1/K9.1</t>
  </si>
  <si>
    <t>P6.2/K9.2</t>
  </si>
  <si>
    <t>G1.7</t>
  </si>
  <si>
    <t>PSO / BSO ruimte</t>
  </si>
  <si>
    <t>KDV ruimte</t>
  </si>
  <si>
    <t>Tribunetrap</t>
  </si>
  <si>
    <t>G1.6</t>
  </si>
  <si>
    <t>Boterhameiland</t>
  </si>
  <si>
    <t>Gymzaal Irisschool/parel</t>
  </si>
  <si>
    <t>IRT ruimte</t>
  </si>
  <si>
    <t>groepsruimte 4</t>
  </si>
  <si>
    <t>groepsruimte 3</t>
  </si>
  <si>
    <t>groepsruimte 2</t>
  </si>
  <si>
    <t>berging 3</t>
  </si>
  <si>
    <t>groepsruimte 1</t>
  </si>
  <si>
    <t>berging 1</t>
  </si>
  <si>
    <t>directiekantoor</t>
  </si>
  <si>
    <t>groepsruimte 6</t>
  </si>
  <si>
    <t>groepsruimte 5</t>
  </si>
  <si>
    <t>U0.01</t>
  </si>
  <si>
    <t>lokaal 01</t>
  </si>
  <si>
    <t>U0.02</t>
  </si>
  <si>
    <t>U0.03</t>
  </si>
  <si>
    <t>U1.01</t>
  </si>
  <si>
    <t>lokaal 02</t>
  </si>
  <si>
    <t>Prijs per m2</t>
  </si>
  <si>
    <t>Totaal kosten per maand incl. btw</t>
  </si>
  <si>
    <t>2 x per week in de periode november t/m maart</t>
  </si>
  <si>
    <t>7a</t>
  </si>
  <si>
    <t>7b</t>
  </si>
  <si>
    <t>5b</t>
  </si>
  <si>
    <t>5a</t>
  </si>
  <si>
    <r>
      <t xml:space="preserve">Totaal kosten per jaar </t>
    </r>
    <r>
      <rPr>
        <b/>
        <sz val="10"/>
        <color rgb="FFFF0000"/>
        <rFont val="Century Gothic"/>
        <family val="2"/>
      </rPr>
      <t>excl</t>
    </r>
    <r>
      <rPr>
        <b/>
        <sz val="10"/>
        <color theme="0"/>
        <rFont val="Century Gothic"/>
        <family val="2"/>
      </rPr>
      <t>. Btw</t>
    </r>
  </si>
  <si>
    <t>Elevantio-EA-LK-RT-2022</t>
  </si>
  <si>
    <t>Schonmaak programma</t>
  </si>
  <si>
    <t>Onderdeel</t>
  </si>
  <si>
    <t>Uurlonen per 1 april 2022</t>
  </si>
  <si>
    <t>Frequentie sprayen</t>
  </si>
  <si>
    <t>Uren sprayen</t>
  </si>
  <si>
    <t>5 x per week (40 weken minus 10 extra vrije dagen door het jaar heen)</t>
  </si>
  <si>
    <t>Frequentie schrobben</t>
  </si>
  <si>
    <t>Uren schrobben</t>
  </si>
  <si>
    <t>zie ruimtestaat</t>
  </si>
  <si>
    <t>Gevelbeplating/boeiboord/ luifel reingen</t>
  </si>
  <si>
    <t>Verpakkings eenheid</t>
  </si>
  <si>
    <t>Papieren handdoekjes</t>
  </si>
  <si>
    <t>Handzeep</t>
  </si>
  <si>
    <t>Toiletpapier</t>
  </si>
  <si>
    <t>Toiletborstel met houder</t>
  </si>
  <si>
    <t>Per stuk</t>
  </si>
  <si>
    <t>Prijs per verpakkings eenheid</t>
  </si>
  <si>
    <t>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</si>
</sst>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_-* #,##0_-;_-* #,##0\-;_-* &quot;-&quot;??_-;_-@_-"/>
    <numFmt numFmtId="173" formatCode="0.0%"/>
    <numFmt numFmtId="174" formatCode="0.0"/>
    <numFmt numFmtId="175" formatCode="0.000%"/>
    <numFmt numFmtId="176" formatCode="_-[$€-2]\ * #,##0.00_ ;_-[$€-2]\ * \-#,##0.00\ ;_-[$€-2]\ * &quot;-&quot;??_ ;_-@_ "/>
    <numFmt numFmtId="177" formatCode="_([$€-2]\ * #,##0.00_);_([$€-2]\ * \(#,##0.00\);_([$€-2]\ * &quot;-&quot;??_);_(@_)"/>
    <numFmt numFmtId="178" formatCode="_ [$€-413]\ * #,##0.00_ ;_ [$€-413]\ * \-#,##0.00_ ;_ [$€-413]\ * &quot;-&quot;??_ ;_ @_ "/>
    <numFmt numFmtId="179" formatCode="0.0000000"/>
    <numFmt numFmtId="180" formatCode="_-* #,##0.0_-;_-* #,##0.0\-;_-* &quot;-&quot;??_-;_-@_-"/>
    <numFmt numFmtId="181" formatCode="_-* #,##0_-;_-* #,##0\-;_-* &quot;-&quot;_-;_-@_-"/>
    <numFmt numFmtId="182" formatCode="_-[$€]\ * #,##0.00_-;_-[$€]\ * #,##0.00\-;_-[$€]\ * &quot;-&quot;??_-;_-@_-"/>
    <numFmt numFmtId="183" formatCode="_-&quot;€&quot;* #,##0.00_-;\-&quot;€&quot;* #,##0.00_-;_-&quot;€&quot;* &quot;-&quot;??_-;_-@_-"/>
    <numFmt numFmtId="184" formatCode="_-[$€-2]\ * #,##0.00_-;_-[$€-2]\ * #,##0.00\-;_-[$€-2]\ * &quot;-&quot;??_-;_-@_-"/>
    <numFmt numFmtId="185" formatCode="_-&quot;ƒ&quot;\ * #,##0.00_-;_-&quot;ƒ&quot;\ * #,##0.00\-;_-&quot;ƒ&quot;\ * &quot;-&quot;??_-;_-@_-"/>
    <numFmt numFmtId="186" formatCode="[$-413]d\ mmmm\ yyyy;@"/>
    <numFmt numFmtId="187" formatCode="&quot;Fl.&quot;#,##0.00;[Red]\-&quot;Fl.&quot;#,##0.00"/>
    <numFmt numFmtId="188" formatCode="&quot;Fl.&quot;#,##0_);[Red]\(&quot;Fl.&quot;#,##0\)"/>
    <numFmt numFmtId="189" formatCode="_-\F* #,##0.00_-;\-\F* #,##0.00_-;_-\F* &quot;-&quot;??_-;_-@_-"/>
    <numFmt numFmtId="190" formatCode="&quot;fl&quot;\ #,##0_-;[Red]&quot;fl&quot;\ #,##0\-"/>
    <numFmt numFmtId="191" formatCode="_-\€\ * #,##0.00"/>
    <numFmt numFmtId="192" formatCode="0\ &quot;m2&quot;"/>
    <numFmt numFmtId="193" formatCode="_-&quot;F&quot;\ * #,##0.00_-;_-&quot;F&quot;\ * #,##0.00\-;_-&quot;F&quot;\ * &quot;-&quot;??_-;_-@_-"/>
    <numFmt numFmtId="194" formatCode="#,##0.00_ ;\-#,##0.00\ "/>
  </numFmts>
  <fonts count="117">
    <font>
      <sz val="10"/>
      <name val="MS Sans Serif"/>
    </font>
    <font>
      <sz val="10"/>
      <color theme="1"/>
      <name val="Century Gothic"/>
      <family val="2"/>
    </font>
    <font>
      <sz val="10"/>
      <color theme="1"/>
      <name val="Century Gothic"/>
      <family val="2"/>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b/>
      <vertAlign val="superscript"/>
      <sz val="10"/>
      <color theme="0"/>
      <name val="Century Gothic"/>
      <family val="2"/>
    </font>
    <font>
      <sz val="10"/>
      <color theme="0" tint="-0.499984740745262"/>
      <name val="Century Gothic"/>
      <family val="2"/>
    </font>
    <font>
      <i/>
      <sz val="10"/>
      <name val="Arial"/>
      <family val="2"/>
    </font>
    <font>
      <sz val="8"/>
      <name val="MS Sans Serif"/>
    </font>
    <font>
      <sz val="10"/>
      <name val="Arial"/>
      <family val="2"/>
    </font>
    <font>
      <i/>
      <sz val="8"/>
      <name val="Century Gothic"/>
      <family val="2"/>
    </font>
    <font>
      <sz val="11"/>
      <color theme="1"/>
      <name val="Century Gothic"/>
      <family val="2"/>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FFFF00"/>
        <bgColor indexed="64"/>
      </patternFill>
    </fill>
    <fill>
      <patternFill patternType="solid">
        <fgColor rgb="FFFFFFFF"/>
        <bgColor indexed="64"/>
      </patternFill>
    </fill>
    <fill>
      <patternFill patternType="solid">
        <fgColor theme="1"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52903">
    <xf numFmtId="0" fontId="0" fillId="0" borderId="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9" fontId="10" fillId="0" borderId="0" applyFont="0" applyFill="0" applyBorder="0" applyAlignment="0" applyProtection="0"/>
    <xf numFmtId="171" fontId="10" fillId="0" borderId="0" applyFont="0" applyFill="0" applyBorder="0" applyAlignment="0" applyProtection="0"/>
    <xf numFmtId="168" fontId="12" fillId="0" borderId="0" applyFont="0" applyFill="0" applyBorder="0" applyAlignment="0" applyProtection="0"/>
    <xf numFmtId="168" fontId="10" fillId="0" borderId="0" applyFont="0" applyFill="0" applyBorder="0" applyAlignment="0" applyProtection="0"/>
    <xf numFmtId="0" fontId="18" fillId="0" borderId="0" applyNumberFormat="0" applyFill="0" applyBorder="0" applyAlignment="0" applyProtection="0">
      <alignment vertical="top"/>
      <protection locked="0"/>
    </xf>
    <xf numFmtId="167" fontId="9" fillId="0" borderId="0" applyFont="0" applyFill="0" applyBorder="0" applyAlignment="0" applyProtection="0"/>
    <xf numFmtId="0" fontId="10" fillId="0" borderId="0"/>
    <xf numFmtId="0" fontId="16" fillId="0" borderId="0"/>
    <xf numFmtId="0" fontId="12" fillId="0" borderId="0"/>
    <xf numFmtId="0" fontId="10" fillId="0" borderId="0"/>
    <xf numFmtId="0" fontId="10" fillId="0" borderId="0"/>
    <xf numFmtId="0" fontId="10" fillId="0" borderId="0"/>
    <xf numFmtId="0" fontId="14" fillId="0" borderId="0"/>
    <xf numFmtId="9" fontId="9" fillId="0" borderId="0" applyFont="0" applyFill="0" applyBorder="0" applyAlignment="0" applyProtection="0"/>
    <xf numFmtId="0" fontId="10" fillId="0" borderId="0"/>
    <xf numFmtId="166" fontId="9" fillId="0" borderId="0" applyFont="0" applyFill="0" applyBorder="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0" borderId="13" applyNumberFormat="0" applyFill="0" applyAlignment="0" applyProtection="0"/>
    <xf numFmtId="0" fontId="23" fillId="0" borderId="14" applyNumberFormat="0" applyFill="0" applyAlignment="0" applyProtection="0"/>
    <xf numFmtId="0" fontId="23" fillId="0" borderId="0" applyNumberFormat="0" applyFill="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0" applyNumberFormat="0" applyBorder="0" applyAlignment="0" applyProtection="0"/>
    <xf numFmtId="0" fontId="27" fillId="6" borderId="15" applyNumberFormat="0" applyAlignment="0" applyProtection="0"/>
    <xf numFmtId="0" fontId="28" fillId="7" borderId="16" applyNumberFormat="0" applyAlignment="0" applyProtection="0"/>
    <xf numFmtId="0" fontId="29" fillId="7" borderId="15" applyNumberFormat="0" applyAlignment="0" applyProtection="0"/>
    <xf numFmtId="0" fontId="30" fillId="0" borderId="17" applyNumberFormat="0" applyFill="0" applyAlignment="0" applyProtection="0"/>
    <xf numFmtId="0" fontId="31" fillId="8" borderId="18"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20" applyNumberFormat="0" applyFill="0" applyAlignment="0" applyProtection="0"/>
    <xf numFmtId="0" fontId="35"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35" fillId="25" borderId="0" applyNumberFormat="0" applyBorder="0" applyAlignment="0" applyProtection="0"/>
    <xf numFmtId="0" fontId="35"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35" fillId="29" borderId="0" applyNumberFormat="0" applyBorder="0" applyAlignment="0" applyProtection="0"/>
    <xf numFmtId="0" fontId="35"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35" fillId="33" borderId="0" applyNumberFormat="0" applyBorder="0" applyAlignment="0" applyProtection="0"/>
    <xf numFmtId="0" fontId="8" fillId="0" borderId="0"/>
    <xf numFmtId="0" fontId="8" fillId="9" borderId="19" applyNumberFormat="0" applyFont="0" applyAlignment="0" applyProtection="0"/>
    <xf numFmtId="0" fontId="13" fillId="0" borderId="0"/>
    <xf numFmtId="0" fontId="36" fillId="0" borderId="0"/>
    <xf numFmtId="0" fontId="36" fillId="0" borderId="0"/>
    <xf numFmtId="0" fontId="9" fillId="0" borderId="0"/>
    <xf numFmtId="9" fontId="9" fillId="0" borderId="0" applyFont="0" applyFill="0" applyBorder="0" applyAlignment="0" applyProtection="0"/>
    <xf numFmtId="44" fontId="9" fillId="0" borderId="0" applyFont="0" applyFill="0" applyBorder="0" applyAlignment="0" applyProtection="0"/>
    <xf numFmtId="181" fontId="9"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2" fontId="37" fillId="0" borderId="0" applyFont="0" applyFill="0" applyBorder="0" applyAlignment="0" applyProtection="0"/>
    <xf numFmtId="182" fontId="37" fillId="0" borderId="0" applyFont="0" applyFill="0" applyBorder="0" applyAlignment="0" applyProtection="0"/>
    <xf numFmtId="183" fontId="13" fillId="0" borderId="0" applyFont="0" applyFill="0" applyBorder="0" applyAlignment="0" applyProtection="0"/>
    <xf numFmtId="181"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7" fillId="0" borderId="0" applyFont="0" applyFill="0" applyBorder="0" applyAlignment="0" applyProtection="0"/>
    <xf numFmtId="0" fontId="38" fillId="34" borderId="0"/>
    <xf numFmtId="184" fontId="9" fillId="0" borderId="0"/>
    <xf numFmtId="0" fontId="16" fillId="0" borderId="0"/>
    <xf numFmtId="0" fontId="14" fillId="0" borderId="0"/>
    <xf numFmtId="9" fontId="9" fillId="0" borderId="0" applyFont="0" applyFill="0" applyBorder="0" applyAlignment="0" applyProtection="0"/>
    <xf numFmtId="9" fontId="13" fillId="0" borderId="0" applyFont="0" applyFill="0" applyBorder="0" applyAlignment="0" applyProtection="0"/>
    <xf numFmtId="0" fontId="9" fillId="0" borderId="0"/>
    <xf numFmtId="0" fontId="9" fillId="0" borderId="0"/>
    <xf numFmtId="0" fontId="39" fillId="0" borderId="0"/>
    <xf numFmtId="0" fontId="13" fillId="0" borderId="0"/>
    <xf numFmtId="0" fontId="7" fillId="0" borderId="0"/>
    <xf numFmtId="0" fontId="9" fillId="0" borderId="0"/>
    <xf numFmtId="0" fontId="40" fillId="0" borderId="0"/>
    <xf numFmtId="0" fontId="40" fillId="0" borderId="0"/>
    <xf numFmtId="0" fontId="9" fillId="0" borderId="0"/>
    <xf numFmtId="0" fontId="9" fillId="0" borderId="0"/>
    <xf numFmtId="0" fontId="40" fillId="0" borderId="0"/>
    <xf numFmtId="0" fontId="40" fillId="0" borderId="0"/>
    <xf numFmtId="0" fontId="13" fillId="0" borderId="0"/>
    <xf numFmtId="0" fontId="9" fillId="0" borderId="0"/>
    <xf numFmtId="0" fontId="19" fillId="0" borderId="0"/>
    <xf numFmtId="0" fontId="11" fillId="0" borderId="0"/>
    <xf numFmtId="185" fontId="9" fillId="0" borderId="0" applyFont="0" applyFill="0" applyBorder="0" applyAlignment="0" applyProtection="0"/>
    <xf numFmtId="44" fontId="9" fillId="0" borderId="0" applyFont="0" applyFill="0" applyBorder="0" applyAlignment="0" applyProtection="0"/>
    <xf numFmtId="166" fontId="9" fillId="0" borderId="0" applyFont="0" applyFill="0" applyBorder="0" applyAlignment="0" applyProtection="0"/>
    <xf numFmtId="0" fontId="13" fillId="0" borderId="0"/>
    <xf numFmtId="166" fontId="13" fillId="0" borderId="0" applyFont="0" applyFill="0" applyBorder="0" applyAlignment="0" applyProtection="0"/>
    <xf numFmtId="167" fontId="13" fillId="0" borderId="0" applyFont="0" applyFill="0" applyBorder="0" applyAlignment="0" applyProtection="0"/>
    <xf numFmtId="0" fontId="40"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40"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2" fillId="46"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53" borderId="0" applyNumberFormat="0" applyBorder="0" applyAlignment="0" applyProtection="0"/>
    <xf numFmtId="0" fontId="43" fillId="39" borderId="0" applyNumberFormat="0" applyBorder="0" applyAlignment="0" applyProtection="0"/>
    <xf numFmtId="0" fontId="44" fillId="4" borderId="0" applyNumberFormat="0" applyBorder="0" applyAlignment="0" applyProtection="0"/>
    <xf numFmtId="0" fontId="45" fillId="54" borderId="22" applyNumberFormat="0" applyAlignment="0" applyProtection="0"/>
    <xf numFmtId="0" fontId="13" fillId="0" borderId="0"/>
    <xf numFmtId="0" fontId="46" fillId="55" borderId="22" applyNumberFormat="0" applyAlignment="0" applyProtection="0"/>
    <xf numFmtId="0" fontId="47" fillId="56" borderId="23" applyNumberFormat="0" applyAlignment="0" applyProtection="0"/>
    <xf numFmtId="0" fontId="47" fillId="56" borderId="23" applyNumberFormat="0" applyAlignment="0" applyProtection="0"/>
    <xf numFmtId="0" fontId="48" fillId="0" borderId="0" applyNumberFormat="0" applyFill="0" applyBorder="0" applyAlignment="0" applyProtection="0"/>
    <xf numFmtId="0" fontId="49" fillId="0" borderId="24" applyNumberFormat="0" applyFill="0" applyAlignment="0" applyProtection="0"/>
    <xf numFmtId="0" fontId="50" fillId="38"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1" fillId="0" borderId="25" applyNumberFormat="0" applyFill="0" applyAlignment="0" applyProtection="0"/>
    <xf numFmtId="0" fontId="52" fillId="0" borderId="26" applyNumberFormat="0" applyFill="0" applyAlignment="0" applyProtection="0"/>
    <xf numFmtId="0" fontId="53" fillId="0" borderId="27" applyNumberFormat="0" applyFill="0" applyAlignment="0" applyProtection="0"/>
    <xf numFmtId="0" fontId="53" fillId="0" borderId="0" applyNumberFormat="0" applyFill="0" applyBorder="0" applyAlignment="0" applyProtection="0"/>
    <xf numFmtId="0" fontId="54" fillId="57" borderId="22" applyNumberFormat="0" applyAlignment="0" applyProtection="0"/>
    <xf numFmtId="0" fontId="41" fillId="58" borderId="1"/>
    <xf numFmtId="0" fontId="55" fillId="0" borderId="28" applyNumberFormat="0" applyFill="0" applyAlignment="0" applyProtection="0"/>
    <xf numFmtId="0" fontId="56" fillId="0" borderId="29" applyNumberFormat="0" applyFill="0" applyAlignment="0" applyProtection="0"/>
    <xf numFmtId="0" fontId="57" fillId="0" borderId="30" applyNumberFormat="0" applyFill="0" applyAlignment="0" applyProtection="0"/>
    <xf numFmtId="0" fontId="57" fillId="0" borderId="0" applyNumberFormat="0" applyFill="0" applyBorder="0" applyAlignment="0" applyProtection="0"/>
    <xf numFmtId="167" fontId="58" fillId="0" borderId="0">
      <alignment horizontal="center" vertical="center" textRotation="90" wrapText="1"/>
    </xf>
    <xf numFmtId="0" fontId="59" fillId="58" borderId="31"/>
    <xf numFmtId="0" fontId="60" fillId="0" borderId="32" applyNumberFormat="0" applyFill="0" applyAlignment="0" applyProtection="0"/>
    <xf numFmtId="187" fontId="9" fillId="0" borderId="0"/>
    <xf numFmtId="0" fontId="61" fillId="57" borderId="0" applyNumberFormat="0" applyBorder="0" applyAlignment="0" applyProtection="0"/>
    <xf numFmtId="0" fontId="61" fillId="57" borderId="0" applyNumberFormat="0" applyBorder="0" applyAlignment="0" applyProtection="0"/>
    <xf numFmtId="0" fontId="39" fillId="0" borderId="0"/>
    <xf numFmtId="0" fontId="9" fillId="59" borderId="33" applyNumberFormat="0" applyFont="0" applyAlignment="0" applyProtection="0"/>
    <xf numFmtId="0" fontId="40" fillId="59" borderId="33" applyNumberFormat="0" applyFont="0" applyAlignment="0" applyProtection="0"/>
    <xf numFmtId="0" fontId="62" fillId="37" borderId="0" applyNumberFormat="0" applyBorder="0" applyAlignment="0" applyProtection="0"/>
    <xf numFmtId="0" fontId="63" fillId="55" borderId="34" applyNumberFormat="0" applyAlignment="0" applyProtection="0"/>
    <xf numFmtId="0" fontId="59" fillId="60" borderId="35" applyNumberFormat="0" applyFont="0" applyBorder="0">
      <alignment horizontal="center"/>
    </xf>
    <xf numFmtId="0" fontId="64" fillId="0" borderId="0" applyNumberFormat="0" applyFill="0" applyBorder="0" applyAlignment="0" applyProtection="0"/>
    <xf numFmtId="0" fontId="65" fillId="0" borderId="0" applyNumberFormat="0" applyFill="0" applyBorder="0" applyAlignment="0" applyProtection="0"/>
    <xf numFmtId="0" fontId="66" fillId="0" borderId="36" applyNumberFormat="0" applyFill="0" applyAlignment="0" applyProtection="0"/>
    <xf numFmtId="0" fontId="66" fillId="0" borderId="37" applyNumberFormat="0" applyFill="0" applyAlignment="0" applyProtection="0"/>
    <xf numFmtId="0" fontId="63" fillId="54" borderId="34" applyNumberFormat="0" applyAlignment="0" applyProtection="0"/>
    <xf numFmtId="188" fontId="9" fillId="0" borderId="0"/>
    <xf numFmtId="189" fontId="13" fillId="0" borderId="0" applyFont="0" applyFill="0" applyBorder="0" applyAlignment="0" applyProtection="0"/>
    <xf numFmtId="170" fontId="9" fillId="0" borderId="0"/>
    <xf numFmtId="0" fontId="48"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38" fontId="11" fillId="0" borderId="0" applyFont="0" applyFill="0" applyBorder="0" applyAlignment="0" applyProtection="0"/>
    <xf numFmtId="190" fontId="11"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91" fontId="41" fillId="0" borderId="0"/>
    <xf numFmtId="191" fontId="41" fillId="0" borderId="0"/>
    <xf numFmtId="0" fontId="68" fillId="0" borderId="0" applyNumberFormat="0" applyFill="0" applyBorder="0" applyAlignment="0" applyProtection="0"/>
    <xf numFmtId="167" fontId="13" fillId="0" borderId="0" applyFont="0" applyFill="0" applyBorder="0" applyAlignment="0" applyProtection="0"/>
    <xf numFmtId="43" fontId="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59" fillId="58" borderId="31"/>
    <xf numFmtId="192" fontId="59" fillId="0" borderId="0"/>
    <xf numFmtId="9" fontId="40" fillId="0" borderId="0" applyFont="0" applyFill="0" applyBorder="0" applyAlignment="0" applyProtection="0"/>
    <xf numFmtId="0" fontId="7" fillId="0" borderId="0"/>
    <xf numFmtId="0" fontId="13" fillId="0" borderId="0"/>
    <xf numFmtId="0" fontId="9" fillId="0" borderId="0"/>
    <xf numFmtId="0" fontId="13" fillId="0" borderId="0"/>
    <xf numFmtId="0" fontId="69" fillId="0" borderId="0"/>
    <xf numFmtId="0" fontId="13" fillId="0" borderId="0"/>
    <xf numFmtId="0" fontId="9" fillId="0" borderId="0"/>
    <xf numFmtId="0" fontId="7" fillId="0" borderId="0"/>
    <xf numFmtId="0" fontId="7" fillId="0" borderId="0"/>
    <xf numFmtId="0" fontId="13" fillId="0" borderId="0"/>
    <xf numFmtId="0" fontId="9" fillId="0" borderId="0"/>
    <xf numFmtId="166" fontId="13" fillId="0" borderId="0" applyFont="0" applyFill="0" applyBorder="0" applyAlignment="0" applyProtection="0"/>
    <xf numFmtId="166" fontId="40" fillId="0" borderId="0" applyFont="0" applyFill="0" applyBorder="0" applyAlignment="0" applyProtection="0"/>
    <xf numFmtId="166" fontId="13" fillId="0" borderId="0" applyFont="0" applyFill="0" applyBorder="0" applyAlignment="0" applyProtection="0"/>
    <xf numFmtId="193" fontId="13" fillId="0" borderId="0" applyFont="0" applyFill="0" applyBorder="0" applyAlignment="0" applyProtection="0"/>
    <xf numFmtId="0" fontId="114" fillId="0" borderId="0"/>
    <xf numFmtId="0" fontId="54" fillId="41" borderId="51" applyNumberFormat="0" applyAlignment="0" applyProtection="0"/>
    <xf numFmtId="0" fontId="54" fillId="41" borderId="51" applyNumberFormat="0" applyAlignment="0" applyProtection="0"/>
    <xf numFmtId="0" fontId="45" fillId="54" borderId="51" applyNumberFormat="0" applyAlignment="0" applyProtection="0"/>
    <xf numFmtId="0" fontId="54" fillId="41" borderId="51" applyNumberFormat="0" applyAlignment="0" applyProtection="0"/>
    <xf numFmtId="0" fontId="13" fillId="59" borderId="52" applyNumberFormat="0" applyFont="0" applyAlignment="0" applyProtection="0"/>
    <xf numFmtId="0" fontId="66" fillId="0" borderId="53" applyNumberFormat="0" applyFill="0" applyAlignment="0" applyProtection="0"/>
    <xf numFmtId="0" fontId="63" fillId="54" borderId="54" applyNumberFormat="0" applyAlignment="0" applyProtection="0"/>
    <xf numFmtId="0" fontId="54" fillId="41" borderId="51" applyNumberFormat="0" applyAlignment="0" applyProtection="0"/>
    <xf numFmtId="0" fontId="54" fillId="41" borderId="51" applyNumberFormat="0" applyAlignment="0" applyProtection="0"/>
    <xf numFmtId="0" fontId="54" fillId="41" borderId="51" applyNumberFormat="0" applyAlignment="0" applyProtection="0"/>
    <xf numFmtId="0" fontId="54" fillId="41" borderId="51" applyNumberFormat="0" applyAlignment="0" applyProtection="0"/>
    <xf numFmtId="0" fontId="54" fillId="41" borderId="51" applyNumberFormat="0" applyAlignment="0" applyProtection="0"/>
    <xf numFmtId="0" fontId="6" fillId="0" borderId="0"/>
    <xf numFmtId="0" fontId="5" fillId="0" borderId="0"/>
    <xf numFmtId="0" fontId="5" fillId="0" borderId="0"/>
  </cellStyleXfs>
  <cellXfs count="785">
    <xf numFmtId="0" fontId="0" fillId="0" borderId="0" xfId="0"/>
    <xf numFmtId="0" fontId="70" fillId="0" borderId="0" xfId="0" applyFont="1" applyFill="1"/>
    <xf numFmtId="0" fontId="72" fillId="0" borderId="0" xfId="14" applyFont="1" applyFill="1" applyProtection="1">
      <protection hidden="1"/>
    </xf>
    <xf numFmtId="0" fontId="72" fillId="0" borderId="0" xfId="14" applyFont="1" applyFill="1" applyBorder="1" applyProtection="1">
      <protection hidden="1"/>
    </xf>
    <xf numFmtId="0" fontId="72" fillId="0" borderId="0" xfId="0" applyFont="1"/>
    <xf numFmtId="2" fontId="72" fillId="0" borderId="0" xfId="12" applyNumberFormat="1" applyFont="1" applyFill="1" applyBorder="1" applyProtection="1">
      <protection hidden="1"/>
    </xf>
    <xf numFmtId="0" fontId="72" fillId="0" borderId="0" xfId="14" applyFont="1" applyFill="1" applyBorder="1" applyAlignment="1" applyProtection="1">
      <alignment vertical="center"/>
      <protection hidden="1"/>
    </xf>
    <xf numFmtId="0" fontId="73" fillId="0" borderId="0" xfId="14" applyFont="1" applyFill="1" applyBorder="1" applyAlignment="1" applyProtection="1">
      <alignment horizontal="center" vertical="center"/>
      <protection hidden="1"/>
    </xf>
    <xf numFmtId="0" fontId="73" fillId="0" borderId="0" xfId="14" applyFont="1" applyFill="1" applyBorder="1" applyAlignment="1" applyProtection="1">
      <alignment horizontal="right" vertical="center"/>
      <protection hidden="1"/>
    </xf>
    <xf numFmtId="0" fontId="72" fillId="0" borderId="0" xfId="0" applyFont="1" applyFill="1" applyBorder="1"/>
    <xf numFmtId="175" fontId="72" fillId="0" borderId="0" xfId="12" applyNumberFormat="1" applyFont="1" applyFill="1" applyBorder="1" applyAlignment="1" applyProtection="1">
      <alignment vertical="center"/>
      <protection hidden="1"/>
    </xf>
    <xf numFmtId="174" fontId="76" fillId="0" borderId="0" xfId="14" applyNumberFormat="1" applyFont="1" applyFill="1" applyBorder="1" applyAlignment="1" applyProtection="1">
      <alignment vertical="center"/>
      <protection hidden="1"/>
    </xf>
    <xf numFmtId="174" fontId="72" fillId="0" borderId="0" xfId="14" applyNumberFormat="1" applyFont="1" applyFill="1" applyBorder="1" applyAlignment="1" applyProtection="1">
      <alignment vertical="center"/>
      <protection hidden="1"/>
    </xf>
    <xf numFmtId="175" fontId="72" fillId="0" borderId="0" xfId="17" applyNumberFormat="1" applyFont="1" applyFill="1" applyBorder="1" applyAlignment="1" applyProtection="1">
      <alignment vertical="center"/>
      <protection locked="0"/>
    </xf>
    <xf numFmtId="175" fontId="72" fillId="0" borderId="0" xfId="12" applyNumberFormat="1" applyFont="1" applyFill="1" applyBorder="1" applyAlignment="1" applyProtection="1">
      <alignment horizontal="center" vertical="center"/>
      <protection hidden="1"/>
    </xf>
    <xf numFmtId="175" fontId="72" fillId="0" borderId="0" xfId="12" applyNumberFormat="1" applyFont="1" applyFill="1" applyBorder="1" applyAlignment="1" applyProtection="1">
      <alignment horizontal="right" vertical="center"/>
      <protection hidden="1"/>
    </xf>
    <xf numFmtId="9" fontId="77" fillId="0" borderId="0" xfId="12" applyNumberFormat="1" applyFont="1" applyFill="1" applyBorder="1" applyAlignment="1" applyProtection="1">
      <alignment horizontal="center" vertical="center"/>
      <protection hidden="1"/>
    </xf>
    <xf numFmtId="175" fontId="77" fillId="0" borderId="0" xfId="12" applyNumberFormat="1" applyFont="1" applyFill="1" applyBorder="1" applyAlignment="1" applyProtection="1">
      <alignment vertical="center"/>
      <protection hidden="1"/>
    </xf>
    <xf numFmtId="0" fontId="71" fillId="0" borderId="0" xfId="14" applyFont="1" applyFill="1" applyBorder="1" applyAlignment="1" applyProtection="1">
      <alignment horizontal="left" vertical="center"/>
      <protection hidden="1"/>
    </xf>
    <xf numFmtId="0" fontId="76" fillId="0" borderId="0" xfId="14" applyFont="1" applyFill="1" applyBorder="1" applyAlignment="1" applyProtection="1">
      <alignment vertical="center"/>
      <protection hidden="1"/>
    </xf>
    <xf numFmtId="0" fontId="76" fillId="0" borderId="0" xfId="14" applyFont="1" applyFill="1" applyBorder="1" applyAlignment="1" applyProtection="1">
      <alignment horizontal="left" vertical="center"/>
      <protection hidden="1"/>
    </xf>
    <xf numFmtId="2" fontId="76" fillId="0" borderId="0" xfId="14" applyNumberFormat="1" applyFont="1" applyFill="1" applyBorder="1" applyAlignment="1" applyProtection="1">
      <alignment horizontal="right" vertical="center"/>
      <protection hidden="1"/>
    </xf>
    <xf numFmtId="2" fontId="72" fillId="0" borderId="0" xfId="0" applyNumberFormat="1" applyFont="1" applyFill="1" applyBorder="1" applyAlignment="1">
      <alignment vertical="center"/>
    </xf>
    <xf numFmtId="174" fontId="76" fillId="0" borderId="0" xfId="14" applyNumberFormat="1" applyFont="1" applyFill="1" applyBorder="1" applyAlignment="1" applyProtection="1">
      <alignment vertical="center"/>
      <protection locked="0"/>
    </xf>
    <xf numFmtId="174" fontId="78" fillId="0" borderId="0" xfId="14" applyNumberFormat="1" applyFont="1" applyFill="1" applyBorder="1" applyAlignment="1" applyProtection="1">
      <alignment vertical="center"/>
      <protection hidden="1"/>
    </xf>
    <xf numFmtId="0" fontId="71" fillId="0" borderId="0" xfId="14" applyFont="1" applyFill="1" applyBorder="1" applyAlignment="1" applyProtection="1">
      <alignment vertical="center"/>
      <protection hidden="1"/>
    </xf>
    <xf numFmtId="2" fontId="71" fillId="0" borderId="0" xfId="14" applyNumberFormat="1" applyFont="1" applyFill="1" applyBorder="1" applyAlignment="1" applyProtection="1">
      <alignment vertical="center"/>
      <protection hidden="1"/>
    </xf>
    <xf numFmtId="0" fontId="72" fillId="0" borderId="0" xfId="0" applyFont="1" applyFill="1" applyBorder="1" applyAlignment="1">
      <alignment vertical="center"/>
    </xf>
    <xf numFmtId="0" fontId="79" fillId="0" borderId="0" xfId="14" applyFont="1" applyFill="1" applyBorder="1" applyAlignment="1" applyProtection="1">
      <alignment vertical="center"/>
      <protection hidden="1"/>
    </xf>
    <xf numFmtId="10" fontId="76" fillId="0" borderId="0" xfId="17" applyNumberFormat="1" applyFont="1" applyFill="1" applyBorder="1" applyAlignment="1" applyProtection="1">
      <alignment vertical="center"/>
      <protection hidden="1"/>
    </xf>
    <xf numFmtId="175" fontId="76" fillId="0" borderId="0" xfId="17" applyNumberFormat="1" applyFont="1" applyFill="1" applyBorder="1" applyAlignment="1" applyProtection="1">
      <alignment vertical="center"/>
      <protection hidden="1"/>
    </xf>
    <xf numFmtId="175" fontId="76" fillId="0" borderId="0" xfId="14" applyNumberFormat="1" applyFont="1" applyFill="1" applyBorder="1" applyAlignment="1" applyProtection="1">
      <alignment vertical="center"/>
      <protection hidden="1"/>
    </xf>
    <xf numFmtId="175" fontId="72" fillId="0" borderId="0" xfId="17" applyNumberFormat="1" applyFont="1" applyFill="1" applyBorder="1" applyAlignment="1" applyProtection="1">
      <alignment vertical="center"/>
      <protection hidden="1"/>
    </xf>
    <xf numFmtId="175" fontId="72" fillId="0" borderId="0" xfId="14" applyNumberFormat="1" applyFont="1" applyFill="1" applyBorder="1" applyAlignment="1" applyProtection="1">
      <alignment horizontal="right" vertical="center"/>
      <protection hidden="1"/>
    </xf>
    <xf numFmtId="10" fontId="71" fillId="0" borderId="0" xfId="17" applyNumberFormat="1" applyFont="1" applyFill="1" applyBorder="1" applyAlignment="1" applyProtection="1">
      <alignment vertical="center"/>
      <protection hidden="1"/>
    </xf>
    <xf numFmtId="175" fontId="71" fillId="0" borderId="0" xfId="0" applyNumberFormat="1" applyFont="1" applyFill="1" applyBorder="1"/>
    <xf numFmtId="0" fontId="72" fillId="0" borderId="0" xfId="14" applyFont="1" applyFill="1" applyBorder="1" applyAlignment="1" applyProtection="1">
      <alignment horizontal="right" vertical="center"/>
      <protection hidden="1"/>
    </xf>
    <xf numFmtId="0" fontId="77" fillId="0" borderId="0" xfId="14" applyFont="1" applyFill="1" applyBorder="1" applyAlignment="1" applyProtection="1">
      <alignment vertical="center"/>
      <protection hidden="1"/>
    </xf>
    <xf numFmtId="175" fontId="71" fillId="0" borderId="0" xfId="14" applyNumberFormat="1" applyFont="1" applyFill="1" applyBorder="1" applyAlignment="1" applyProtection="1">
      <alignment vertical="center"/>
      <protection hidden="1"/>
    </xf>
    <xf numFmtId="10" fontId="71" fillId="0" borderId="0" xfId="0" applyNumberFormat="1" applyFont="1" applyFill="1" applyBorder="1" applyAlignment="1"/>
    <xf numFmtId="0" fontId="80" fillId="0" borderId="0" xfId="14" applyFont="1" applyFill="1" applyBorder="1" applyAlignment="1" applyProtection="1">
      <protection hidden="1"/>
    </xf>
    <xf numFmtId="0" fontId="80" fillId="0" borderId="0" xfId="14" applyFont="1" applyFill="1" applyBorder="1" applyProtection="1">
      <protection hidden="1"/>
    </xf>
    <xf numFmtId="0" fontId="74" fillId="0" borderId="0" xfId="14" applyFont="1" applyFill="1" applyBorder="1" applyAlignment="1" applyProtection="1">
      <protection hidden="1"/>
    </xf>
    <xf numFmtId="0" fontId="72" fillId="0" borderId="0" xfId="14" applyFont="1" applyFill="1" applyBorder="1" applyAlignment="1" applyProtection="1">
      <protection hidden="1"/>
    </xf>
    <xf numFmtId="0" fontId="72" fillId="0" borderId="0" xfId="0" applyFont="1" applyAlignment="1"/>
    <xf numFmtId="0" fontId="72" fillId="0" borderId="0" xfId="0" applyFont="1" applyFill="1" applyAlignment="1"/>
    <xf numFmtId="0" fontId="72" fillId="0" borderId="0" xfId="14" applyFont="1" applyFill="1" applyAlignment="1" applyProtection="1">
      <protection hidden="1"/>
    </xf>
    <xf numFmtId="0" fontId="72" fillId="0" borderId="0" xfId="0" applyFont="1" applyFill="1"/>
    <xf numFmtId="2" fontId="81" fillId="0" borderId="0" xfId="0" applyNumberFormat="1" applyFont="1"/>
    <xf numFmtId="0" fontId="80" fillId="0" borderId="0" xfId="64" applyFont="1" applyFill="1" applyBorder="1" applyAlignment="1"/>
    <xf numFmtId="0" fontId="72" fillId="0" borderId="0" xfId="64" applyFont="1" applyFill="1" applyAlignment="1"/>
    <xf numFmtId="49" fontId="82" fillId="0" borderId="0" xfId="63" applyNumberFormat="1" applyFont="1" applyFill="1" applyBorder="1" applyAlignment="1" applyProtection="1">
      <alignment horizontal="left" vertical="top"/>
      <protection hidden="1"/>
    </xf>
    <xf numFmtId="2" fontId="84" fillId="0" borderId="0" xfId="64" applyNumberFormat="1" applyFont="1" applyFill="1" applyAlignment="1"/>
    <xf numFmtId="0" fontId="84" fillId="0" borderId="0" xfId="64" applyFont="1" applyFill="1" applyAlignment="1"/>
    <xf numFmtId="2" fontId="84" fillId="0" borderId="0" xfId="64" applyNumberFormat="1" applyFont="1" applyFill="1" applyAlignment="1">
      <alignment horizontal="left"/>
    </xf>
    <xf numFmtId="49" fontId="84" fillId="0" borderId="0" xfId="64" applyNumberFormat="1" applyFont="1" applyFill="1" applyBorder="1" applyAlignment="1"/>
    <xf numFmtId="0" fontId="84" fillId="0" borderId="0" xfId="64" applyFont="1" applyFill="1" applyAlignment="1">
      <alignment horizontal="left"/>
    </xf>
    <xf numFmtId="0" fontId="85" fillId="61" borderId="5" xfId="64" applyNumberFormat="1" applyFont="1" applyFill="1" applyBorder="1" applyAlignment="1"/>
    <xf numFmtId="0" fontId="83" fillId="61" borderId="6" xfId="64" applyNumberFormat="1" applyFont="1" applyFill="1" applyBorder="1" applyAlignment="1"/>
    <xf numFmtId="0" fontId="83" fillId="61" borderId="6" xfId="64" applyNumberFormat="1" applyFont="1" applyFill="1" applyBorder="1" applyAlignment="1">
      <alignment horizontal="left"/>
    </xf>
    <xf numFmtId="0" fontId="84" fillId="61" borderId="7" xfId="64" applyNumberFormat="1" applyFont="1" applyFill="1" applyBorder="1" applyAlignment="1">
      <alignment horizontal="left"/>
    </xf>
    <xf numFmtId="0" fontId="72" fillId="0" borderId="0" xfId="64" applyFont="1" applyFill="1" applyAlignment="1">
      <alignment horizontal="left"/>
    </xf>
    <xf numFmtId="165" fontId="72" fillId="2" borderId="0" xfId="3" applyFont="1" applyFill="1" applyAlignment="1"/>
    <xf numFmtId="178" fontId="72" fillId="2" borderId="1" xfId="66" applyNumberFormat="1" applyFont="1" applyFill="1" applyBorder="1" applyAlignment="1">
      <alignment horizontal="center"/>
    </xf>
    <xf numFmtId="176" fontId="72" fillId="0" borderId="0" xfId="7" applyNumberFormat="1" applyFont="1" applyFill="1" applyAlignment="1">
      <alignment horizontal="left"/>
    </xf>
    <xf numFmtId="9" fontId="77" fillId="2" borderId="1" xfId="66" applyFont="1" applyFill="1" applyBorder="1" applyAlignment="1">
      <alignment horizontal="center"/>
    </xf>
    <xf numFmtId="43" fontId="72" fillId="2" borderId="0" xfId="64" applyNumberFormat="1" applyFont="1" applyFill="1" applyAlignment="1"/>
    <xf numFmtId="0" fontId="72" fillId="0" borderId="6" xfId="64" applyFont="1" applyFill="1" applyBorder="1" applyAlignment="1"/>
    <xf numFmtId="166" fontId="72" fillId="0" borderId="1" xfId="19" applyFont="1" applyFill="1" applyBorder="1" applyAlignment="1" applyProtection="1">
      <alignment horizontal="center" vertical="center"/>
      <protection hidden="1"/>
    </xf>
    <xf numFmtId="0" fontId="77" fillId="0" borderId="0" xfId="63" applyNumberFormat="1" applyFont="1" applyFill="1" applyBorder="1" applyAlignment="1" applyProtection="1">
      <alignment horizontal="left"/>
      <protection hidden="1"/>
    </xf>
    <xf numFmtId="0" fontId="71" fillId="0" borderId="0" xfId="63" applyNumberFormat="1" applyFont="1" applyFill="1" applyBorder="1" applyAlignment="1" applyProtection="1">
      <alignment horizontal="left"/>
      <protection hidden="1"/>
    </xf>
    <xf numFmtId="49" fontId="72" fillId="0" borderId="0" xfId="64" applyNumberFormat="1" applyFont="1" applyFill="1" applyBorder="1" applyAlignment="1"/>
    <xf numFmtId="10" fontId="72" fillId="0" borderId="0" xfId="64" applyNumberFormat="1" applyFont="1" applyFill="1" applyAlignment="1">
      <alignment horizontal="left"/>
    </xf>
    <xf numFmtId="176" fontId="72" fillId="0" borderId="2" xfId="7" applyNumberFormat="1" applyFont="1" applyFill="1" applyBorder="1" applyAlignment="1">
      <alignment horizontal="left"/>
    </xf>
    <xf numFmtId="0" fontId="72" fillId="2" borderId="0" xfId="64" applyFont="1" applyFill="1" applyAlignment="1"/>
    <xf numFmtId="44" fontId="72" fillId="2" borderId="0" xfId="64" applyNumberFormat="1" applyFont="1" applyFill="1" applyAlignment="1"/>
    <xf numFmtId="44" fontId="72" fillId="0" borderId="0" xfId="64" applyNumberFormat="1" applyFont="1" applyFill="1" applyAlignment="1"/>
    <xf numFmtId="49" fontId="86" fillId="61" borderId="5" xfId="64" applyNumberFormat="1" applyFont="1" applyFill="1" applyBorder="1" applyAlignment="1"/>
    <xf numFmtId="0" fontId="86" fillId="61" borderId="6" xfId="64" applyFont="1" applyFill="1" applyBorder="1" applyAlignment="1"/>
    <xf numFmtId="9" fontId="86" fillId="61" borderId="6" xfId="17" applyFont="1" applyFill="1" applyBorder="1" applyAlignment="1">
      <alignment horizontal="center"/>
    </xf>
    <xf numFmtId="44" fontId="86" fillId="61" borderId="7" xfId="64" applyNumberFormat="1" applyFont="1" applyFill="1" applyBorder="1" applyAlignment="1"/>
    <xf numFmtId="49" fontId="87" fillId="0" borderId="0" xfId="64" applyNumberFormat="1" applyFont="1" applyFill="1" applyBorder="1" applyAlignment="1"/>
    <xf numFmtId="2" fontId="88" fillId="0" borderId="0" xfId="64" applyNumberFormat="1" applyFont="1" applyFill="1" applyBorder="1" applyAlignment="1"/>
    <xf numFmtId="2" fontId="88" fillId="0" borderId="0" xfId="64" applyNumberFormat="1" applyFont="1" applyFill="1" applyAlignment="1"/>
    <xf numFmtId="1" fontId="87" fillId="0" borderId="0" xfId="64" applyNumberFormat="1" applyFont="1" applyFill="1" applyBorder="1" applyAlignment="1">
      <alignment horizontal="left"/>
    </xf>
    <xf numFmtId="49" fontId="72" fillId="0" borderId="0" xfId="63" applyNumberFormat="1" applyFont="1" applyFill="1" applyBorder="1" applyAlignment="1" applyProtection="1">
      <alignment horizontal="left" vertical="top"/>
      <protection hidden="1"/>
    </xf>
    <xf numFmtId="0" fontId="72" fillId="0" borderId="0" xfId="63" applyFont="1" applyFill="1" applyBorder="1" applyAlignment="1" applyProtection="1">
      <alignment horizontal="center" vertical="justify"/>
      <protection hidden="1"/>
    </xf>
    <xf numFmtId="0" fontId="72" fillId="0" borderId="0" xfId="63" applyFont="1" applyFill="1" applyBorder="1" applyAlignment="1" applyProtection="1">
      <alignment horizontal="left" vertical="justify"/>
      <protection hidden="1"/>
    </xf>
    <xf numFmtId="0" fontId="88" fillId="0" borderId="0" xfId="64" applyFont="1" applyFill="1" applyAlignment="1"/>
    <xf numFmtId="49" fontId="72" fillId="0" borderId="0" xfId="63" applyNumberFormat="1" applyFont="1" applyFill="1" applyBorder="1" applyAlignment="1" applyProtection="1">
      <alignment horizontal="left"/>
      <protection hidden="1"/>
    </xf>
    <xf numFmtId="0" fontId="77" fillId="0" borderId="0" xfId="63" applyNumberFormat="1" applyFont="1" applyFill="1" applyBorder="1" applyAlignment="1" applyProtection="1">
      <alignment horizontal="left" vertical="top"/>
      <protection hidden="1"/>
    </xf>
    <xf numFmtId="173" fontId="77" fillId="0" borderId="0" xfId="66" applyNumberFormat="1" applyFont="1" applyFill="1" applyBorder="1" applyAlignment="1" applyProtection="1">
      <alignment horizontal="center"/>
      <protection hidden="1"/>
    </xf>
    <xf numFmtId="173" fontId="77" fillId="2" borderId="0" xfId="66" applyNumberFormat="1" applyFont="1" applyFill="1" applyBorder="1" applyAlignment="1" applyProtection="1">
      <alignment horizontal="center"/>
      <protection hidden="1"/>
    </xf>
    <xf numFmtId="49" fontId="72" fillId="0" borderId="6" xfId="63" applyNumberFormat="1" applyFont="1" applyFill="1" applyBorder="1" applyAlignment="1" applyProtection="1">
      <alignment horizontal="left"/>
      <protection hidden="1"/>
    </xf>
    <xf numFmtId="49" fontId="72" fillId="2" borderId="0" xfId="63" applyNumberFormat="1" applyFont="1" applyFill="1" applyBorder="1" applyAlignment="1" applyProtection="1">
      <alignment horizontal="left"/>
      <protection hidden="1"/>
    </xf>
    <xf numFmtId="49" fontId="77" fillId="0" borderId="0" xfId="63" applyNumberFormat="1" applyFont="1" applyFill="1" applyBorder="1" applyAlignment="1" applyProtection="1">
      <alignment horizontal="left"/>
      <protection hidden="1"/>
    </xf>
    <xf numFmtId="9" fontId="77" fillId="0" borderId="0" xfId="66" applyFont="1" applyFill="1" applyBorder="1" applyAlignment="1" applyProtection="1">
      <alignment horizontal="center" vertical="center"/>
      <protection hidden="1"/>
    </xf>
    <xf numFmtId="49" fontId="72" fillId="0" borderId="5" xfId="63" applyNumberFormat="1" applyFont="1" applyFill="1" applyBorder="1" applyAlignment="1" applyProtection="1">
      <alignment horizontal="left"/>
      <protection hidden="1"/>
    </xf>
    <xf numFmtId="49" fontId="72" fillId="2" borderId="7" xfId="63" applyNumberFormat="1" applyFont="1" applyFill="1" applyBorder="1" applyAlignment="1" applyProtection="1">
      <alignment horizontal="left"/>
      <protection hidden="1"/>
    </xf>
    <xf numFmtId="49" fontId="77" fillId="0" borderId="0" xfId="64" applyNumberFormat="1" applyFont="1" applyFill="1" applyBorder="1" applyAlignment="1"/>
    <xf numFmtId="177" fontId="77" fillId="0" borderId="0" xfId="63" applyNumberFormat="1" applyFont="1" applyFill="1" applyBorder="1" applyAlignment="1" applyProtection="1">
      <alignment horizontal="left"/>
      <protection hidden="1"/>
    </xf>
    <xf numFmtId="49" fontId="77" fillId="0" borderId="5" xfId="64" applyNumberFormat="1" applyFont="1" applyFill="1" applyBorder="1" applyAlignment="1"/>
    <xf numFmtId="49" fontId="77" fillId="0" borderId="6" xfId="64" applyNumberFormat="1" applyFont="1" applyFill="1" applyBorder="1" applyAlignment="1"/>
    <xf numFmtId="166" fontId="77" fillId="2" borderId="7" xfId="19" applyFont="1" applyFill="1" applyBorder="1" applyAlignment="1"/>
    <xf numFmtId="0" fontId="72" fillId="0" borderId="0" xfId="90" applyFont="1"/>
    <xf numFmtId="172" fontId="77" fillId="0" borderId="0" xfId="9" applyNumberFormat="1" applyFont="1" applyAlignment="1">
      <alignment horizontal="center"/>
    </xf>
    <xf numFmtId="2" fontId="83" fillId="0" borderId="0" xfId="13" applyNumberFormat="1" applyFont="1" applyFill="1" applyBorder="1" applyAlignment="1"/>
    <xf numFmtId="2" fontId="77" fillId="0" borderId="0" xfId="90" applyNumberFormat="1" applyFont="1"/>
    <xf numFmtId="2" fontId="72" fillId="0" borderId="1" xfId="90" applyNumberFormat="1" applyFont="1" applyFill="1" applyBorder="1"/>
    <xf numFmtId="0" fontId="77" fillId="0" borderId="1" xfId="90" applyFont="1" applyBorder="1"/>
    <xf numFmtId="0" fontId="77" fillId="0" borderId="0" xfId="90" applyFont="1"/>
    <xf numFmtId="167" fontId="72" fillId="0" borderId="0" xfId="9" applyFont="1"/>
    <xf numFmtId="167" fontId="86" fillId="61" borderId="38" xfId="9" applyFont="1" applyFill="1" applyBorder="1" applyAlignment="1">
      <alignment horizontal="center" vertical="top" wrapText="1"/>
    </xf>
    <xf numFmtId="2" fontId="87" fillId="0" borderId="0" xfId="13" applyNumberFormat="1" applyFont="1" applyFill="1" applyBorder="1" applyAlignment="1"/>
    <xf numFmtId="186" fontId="89" fillId="0" borderId="0" xfId="64" applyNumberFormat="1" applyFont="1" applyFill="1" applyBorder="1" applyAlignment="1">
      <alignment horizontal="left"/>
    </xf>
    <xf numFmtId="0" fontId="72" fillId="0" borderId="0" xfId="0" applyFont="1" applyAlignment="1">
      <alignment horizontal="center" vertical="center"/>
    </xf>
    <xf numFmtId="0" fontId="72" fillId="0" borderId="0" xfId="18" applyFont="1" applyFill="1" applyAlignment="1">
      <alignment horizontal="center"/>
    </xf>
    <xf numFmtId="2" fontId="72" fillId="0" borderId="0" xfId="9" applyNumberFormat="1" applyFont="1" applyAlignment="1">
      <alignment horizontal="left"/>
    </xf>
    <xf numFmtId="167" fontId="72" fillId="0" borderId="0" xfId="9" applyFont="1" applyAlignment="1">
      <alignment horizontal="right"/>
    </xf>
    <xf numFmtId="0" fontId="72" fillId="0" borderId="0" xfId="18" applyFont="1"/>
    <xf numFmtId="0" fontId="72" fillId="0" borderId="0" xfId="18" applyFont="1" applyAlignment="1">
      <alignment horizontal="center" vertical="center"/>
    </xf>
    <xf numFmtId="0" fontId="76" fillId="0" borderId="0" xfId="18" applyFont="1"/>
    <xf numFmtId="0" fontId="72" fillId="0" borderId="1" xfId="0" applyFont="1" applyBorder="1" applyAlignment="1">
      <alignment vertical="center"/>
    </xf>
    <xf numFmtId="0" fontId="72" fillId="0" borderId="1" xfId="0" applyFont="1" applyFill="1" applyBorder="1" applyAlignment="1">
      <alignment horizontal="center" vertical="center"/>
    </xf>
    <xf numFmtId="0" fontId="72" fillId="0" borderId="0" xfId="18" applyFont="1" applyFill="1"/>
    <xf numFmtId="49" fontId="72" fillId="0" borderId="1" xfId="0" applyNumberFormat="1" applyFont="1" applyFill="1" applyBorder="1" applyAlignment="1">
      <alignment horizontal="center"/>
    </xf>
    <xf numFmtId="0" fontId="72" fillId="0" borderId="1" xfId="0" applyFont="1" applyFill="1" applyBorder="1" applyAlignment="1"/>
    <xf numFmtId="1" fontId="72" fillId="0" borderId="1" xfId="62" applyNumberFormat="1" applyFont="1" applyBorder="1" applyAlignment="1">
      <alignment horizontal="center"/>
    </xf>
    <xf numFmtId="1" fontId="76" fillId="0" borderId="1" xfId="62" applyNumberFormat="1" applyFont="1" applyBorder="1" applyAlignment="1">
      <alignment horizontal="center"/>
    </xf>
    <xf numFmtId="172" fontId="74" fillId="0" borderId="1" xfId="9" applyNumberFormat="1" applyFont="1" applyFill="1" applyBorder="1" applyAlignment="1">
      <alignment horizontal="center"/>
    </xf>
    <xf numFmtId="49" fontId="81" fillId="0" borderId="1" xfId="18" applyNumberFormat="1" applyFont="1" applyFill="1" applyBorder="1" applyAlignment="1">
      <alignment horizontal="center"/>
    </xf>
    <xf numFmtId="0" fontId="81" fillId="0" borderId="1" xfId="18" applyFont="1" applyFill="1" applyBorder="1" applyAlignment="1">
      <alignment horizontal="left"/>
    </xf>
    <xf numFmtId="1" fontId="72" fillId="0" borderId="1" xfId="0" applyNumberFormat="1" applyFont="1" applyFill="1" applyBorder="1" applyAlignment="1">
      <alignment horizontal="center"/>
    </xf>
    <xf numFmtId="1" fontId="86" fillId="61" borderId="1" xfId="0" applyNumberFormat="1" applyFont="1" applyFill="1" applyBorder="1" applyAlignment="1">
      <alignment horizontal="left"/>
    </xf>
    <xf numFmtId="1" fontId="86" fillId="61" borderId="1" xfId="0" applyNumberFormat="1" applyFont="1" applyFill="1" applyBorder="1" applyAlignment="1">
      <alignment horizontal="center"/>
    </xf>
    <xf numFmtId="2" fontId="86" fillId="61" borderId="1" xfId="0" applyNumberFormat="1" applyFont="1" applyFill="1" applyBorder="1" applyAlignment="1">
      <alignment horizontal="left" vertical="center" wrapText="1"/>
    </xf>
    <xf numFmtId="1" fontId="86" fillId="61" borderId="1" xfId="0" applyNumberFormat="1" applyFont="1" applyFill="1" applyBorder="1" applyAlignment="1">
      <alignment horizontal="center" vertical="center" wrapText="1"/>
    </xf>
    <xf numFmtId="1" fontId="81" fillId="0" borderId="6" xfId="0" applyNumberFormat="1" applyFont="1" applyFill="1" applyBorder="1" applyAlignment="1">
      <alignment horizontal="center" vertical="center" wrapText="1"/>
    </xf>
    <xf numFmtId="1" fontId="81" fillId="0" borderId="7" xfId="0" applyNumberFormat="1" applyFont="1" applyFill="1" applyBorder="1" applyAlignment="1">
      <alignment horizontal="center" vertical="center" wrapText="1"/>
    </xf>
    <xf numFmtId="49" fontId="87" fillId="0" borderId="0" xfId="13" applyNumberFormat="1" applyFont="1" applyFill="1" applyBorder="1" applyAlignment="1"/>
    <xf numFmtId="2" fontId="88" fillId="0" borderId="0" xfId="13" applyNumberFormat="1" applyFont="1" applyFill="1" applyBorder="1" applyAlignment="1"/>
    <xf numFmtId="0" fontId="86" fillId="61" borderId="1" xfId="0" applyFont="1" applyFill="1" applyBorder="1" applyAlignment="1">
      <alignment wrapText="1"/>
    </xf>
    <xf numFmtId="1" fontId="81" fillId="0" borderId="1" xfId="62" applyNumberFormat="1" applyFont="1" applyFill="1" applyBorder="1" applyAlignment="1">
      <alignment horizontal="center"/>
    </xf>
    <xf numFmtId="0" fontId="72" fillId="0" borderId="0" xfId="0" applyFont="1" applyAlignment="1">
      <alignment horizontal="center"/>
    </xf>
    <xf numFmtId="0" fontId="74" fillId="0" borderId="0" xfId="0" applyFont="1" applyAlignment="1">
      <alignment horizontal="center"/>
    </xf>
    <xf numFmtId="2" fontId="80" fillId="0" borderId="0" xfId="0" applyNumberFormat="1" applyFont="1"/>
    <xf numFmtId="2" fontId="77" fillId="0" borderId="0" xfId="0" applyNumberFormat="1" applyFont="1" applyAlignment="1">
      <alignment horizontal="center"/>
    </xf>
    <xf numFmtId="2" fontId="77" fillId="0" borderId="0" xfId="0" applyNumberFormat="1" applyFont="1"/>
    <xf numFmtId="0" fontId="77" fillId="0" borderId="0" xfId="0" applyFont="1"/>
    <xf numFmtId="1" fontId="77" fillId="0" borderId="0" xfId="0" applyNumberFormat="1" applyFont="1" applyAlignment="1">
      <alignment horizontal="center"/>
    </xf>
    <xf numFmtId="0" fontId="91" fillId="0" borderId="0" xfId="0" applyFont="1" applyFill="1"/>
    <xf numFmtId="0" fontId="77" fillId="0" borderId="0" xfId="0" applyFont="1" applyFill="1"/>
    <xf numFmtId="167" fontId="77" fillId="0" borderId="0" xfId="9" applyFont="1"/>
    <xf numFmtId="2" fontId="77" fillId="0" borderId="0" xfId="0" applyNumberFormat="1" applyFont="1" applyFill="1"/>
    <xf numFmtId="2" fontId="86" fillId="61" borderId="4" xfId="0" applyNumberFormat="1" applyFont="1" applyFill="1" applyBorder="1" applyAlignment="1">
      <alignment horizontal="left" vertical="top" wrapText="1"/>
    </xf>
    <xf numFmtId="0" fontId="86" fillId="61" borderId="4" xfId="0" applyFont="1" applyFill="1" applyBorder="1" applyAlignment="1">
      <alignment horizontal="left" vertical="top" wrapText="1"/>
    </xf>
    <xf numFmtId="180" fontId="86" fillId="61" borderId="4" xfId="9" applyNumberFormat="1" applyFont="1" applyFill="1" applyBorder="1" applyAlignment="1">
      <alignment horizontal="left" vertical="top" wrapText="1"/>
    </xf>
    <xf numFmtId="167" fontId="86" fillId="61" borderId="4" xfId="9" applyFont="1" applyFill="1" applyBorder="1" applyAlignment="1">
      <alignment horizontal="center" vertical="top" wrapText="1"/>
    </xf>
    <xf numFmtId="167" fontId="92" fillId="61" borderId="4" xfId="9" applyFont="1" applyFill="1" applyBorder="1" applyAlignment="1">
      <alignment horizontal="center" vertical="top" wrapText="1"/>
    </xf>
    <xf numFmtId="2" fontId="72" fillId="0" borderId="1" xfId="0" applyNumberFormat="1" applyFont="1" applyFill="1" applyBorder="1"/>
    <xf numFmtId="0" fontId="72" fillId="0" borderId="1" xfId="0" applyFont="1" applyFill="1" applyBorder="1"/>
    <xf numFmtId="43" fontId="74" fillId="0" borderId="1" xfId="9" applyNumberFormat="1" applyFont="1" applyFill="1" applyBorder="1" applyAlignment="1">
      <alignment horizontal="center"/>
    </xf>
    <xf numFmtId="1" fontId="74" fillId="0" borderId="1" xfId="9" applyNumberFormat="1" applyFont="1" applyFill="1" applyBorder="1" applyAlignment="1">
      <alignment horizontal="center"/>
    </xf>
    <xf numFmtId="2" fontId="74" fillId="0" borderId="1" xfId="9" applyNumberFormat="1" applyFont="1" applyFill="1" applyBorder="1" applyAlignment="1">
      <alignment horizontal="center"/>
    </xf>
    <xf numFmtId="0" fontId="74" fillId="0" borderId="0" xfId="0" applyFont="1"/>
    <xf numFmtId="0" fontId="72" fillId="0" borderId="4" xfId="0" applyFont="1" applyFill="1" applyBorder="1"/>
    <xf numFmtId="0" fontId="72" fillId="0" borderId="1" xfId="0" applyNumberFormat="1" applyFont="1" applyFill="1" applyBorder="1" applyAlignment="1"/>
    <xf numFmtId="0" fontId="72" fillId="0" borderId="7" xfId="0" applyFont="1" applyFill="1" applyBorder="1"/>
    <xf numFmtId="0" fontId="72" fillId="0" borderId="9" xfId="0" applyFont="1" applyFill="1" applyBorder="1"/>
    <xf numFmtId="0" fontId="72" fillId="0" borderId="21" xfId="0" applyFont="1" applyBorder="1" applyAlignment="1">
      <alignment wrapText="1"/>
    </xf>
    <xf numFmtId="0" fontId="72" fillId="2" borderId="21" xfId="0" applyFont="1" applyFill="1" applyBorder="1" applyAlignment="1">
      <alignment wrapText="1"/>
    </xf>
    <xf numFmtId="0" fontId="72" fillId="0" borderId="0" xfId="0" applyFont="1" applyBorder="1"/>
    <xf numFmtId="0" fontId="72" fillId="0" borderId="0" xfId="0" applyFont="1" applyFill="1" applyBorder="1" applyAlignment="1"/>
    <xf numFmtId="0" fontId="74" fillId="0" borderId="0" xfId="14" applyFont="1" applyFill="1" applyAlignment="1" applyProtection="1">
      <protection hidden="1"/>
    </xf>
    <xf numFmtId="0" fontId="77" fillId="0" borderId="0" xfId="0" applyFont="1" applyAlignment="1">
      <alignment horizontal="center"/>
    </xf>
    <xf numFmtId="0" fontId="72" fillId="0" borderId="0" xfId="0" applyFont="1" applyFill="1" applyAlignment="1">
      <alignment vertical="center"/>
    </xf>
    <xf numFmtId="0" fontId="72" fillId="0" borderId="0" xfId="14" applyFont="1" applyFill="1" applyAlignment="1" applyProtection="1">
      <alignment vertical="center"/>
      <protection hidden="1"/>
    </xf>
    <xf numFmtId="2" fontId="72" fillId="0" borderId="0" xfId="0" applyNumberFormat="1" applyFont="1" applyFill="1" applyAlignment="1">
      <alignment vertical="center"/>
    </xf>
    <xf numFmtId="2" fontId="72" fillId="0" borderId="0" xfId="14" applyNumberFormat="1" applyFont="1" applyFill="1" applyAlignment="1" applyProtection="1">
      <alignment vertical="center"/>
      <protection hidden="1"/>
    </xf>
    <xf numFmtId="2" fontId="77" fillId="0" borderId="0" xfId="0" applyNumberFormat="1" applyFont="1" applyFill="1" applyBorder="1" applyAlignment="1">
      <alignment horizontal="center"/>
    </xf>
    <xf numFmtId="2" fontId="72" fillId="0" borderId="0" xfId="14" applyNumberFormat="1" applyFont="1" applyFill="1" applyBorder="1" applyAlignment="1" applyProtection="1">
      <alignment vertical="center"/>
      <protection hidden="1"/>
    </xf>
    <xf numFmtId="2" fontId="83" fillId="0" borderId="0" xfId="14" applyNumberFormat="1" applyFont="1" applyFill="1" applyBorder="1" applyAlignment="1" applyProtection="1">
      <alignment vertical="center"/>
      <protection locked="0"/>
    </xf>
    <xf numFmtId="2" fontId="72" fillId="0" borderId="3" xfId="12" applyNumberFormat="1" applyFont="1" applyFill="1" applyBorder="1" applyProtection="1">
      <protection hidden="1"/>
    </xf>
    <xf numFmtId="2" fontId="72" fillId="0" borderId="5" xfId="12" applyNumberFormat="1" applyFont="1" applyFill="1" applyBorder="1" applyProtection="1">
      <protection hidden="1"/>
    </xf>
    <xf numFmtId="0" fontId="72" fillId="0" borderId="7" xfId="0" applyFont="1" applyBorder="1"/>
    <xf numFmtId="2" fontId="72" fillId="0" borderId="7" xfId="12" applyNumberFormat="1" applyFont="1" applyFill="1" applyBorder="1" applyProtection="1">
      <protection hidden="1"/>
    </xf>
    <xf numFmtId="0" fontId="72" fillId="0" borderId="5" xfId="0" applyFont="1" applyFill="1" applyBorder="1"/>
    <xf numFmtId="175" fontId="72" fillId="2" borderId="0" xfId="12" applyNumberFormat="1" applyFont="1" applyFill="1" applyBorder="1" applyAlignment="1" applyProtection="1">
      <alignment vertical="center"/>
      <protection hidden="1"/>
    </xf>
    <xf numFmtId="0" fontId="77" fillId="0" borderId="5" xfId="0" applyFont="1" applyFill="1" applyBorder="1"/>
    <xf numFmtId="0" fontId="77" fillId="0" borderId="7" xfId="0" applyFont="1" applyFill="1" applyBorder="1"/>
    <xf numFmtId="175" fontId="77" fillId="0" borderId="1" xfId="12" applyNumberFormat="1" applyFont="1" applyFill="1" applyBorder="1" applyAlignment="1" applyProtection="1">
      <alignment vertical="center"/>
      <protection hidden="1"/>
    </xf>
    <xf numFmtId="175" fontId="72" fillId="0" borderId="1" xfId="12" applyNumberFormat="1" applyFont="1" applyFill="1" applyBorder="1" applyAlignment="1" applyProtection="1">
      <alignment vertical="center"/>
      <protection hidden="1"/>
    </xf>
    <xf numFmtId="10" fontId="77" fillId="0" borderId="7" xfId="0" applyNumberFormat="1" applyFont="1" applyFill="1" applyBorder="1" applyAlignment="1"/>
    <xf numFmtId="0" fontId="71" fillId="0" borderId="3" xfId="14" applyFont="1" applyFill="1" applyBorder="1" applyAlignment="1" applyProtection="1">
      <alignment horizontal="left" vertical="center"/>
      <protection hidden="1"/>
    </xf>
    <xf numFmtId="2" fontId="77" fillId="0" borderId="1" xfId="12" applyNumberFormat="1" applyFont="1" applyFill="1" applyBorder="1" applyAlignment="1" applyProtection="1">
      <alignment horizontal="center"/>
      <protection hidden="1"/>
    </xf>
    <xf numFmtId="177" fontId="76" fillId="0" borderId="1" xfId="14" applyNumberFormat="1" applyFont="1" applyFill="1" applyBorder="1" applyAlignment="1" applyProtection="1">
      <alignment horizontal="left" vertical="center"/>
      <protection hidden="1"/>
    </xf>
    <xf numFmtId="177" fontId="76" fillId="0" borderId="11" xfId="14" applyNumberFormat="1" applyFont="1" applyFill="1" applyBorder="1" applyAlignment="1" applyProtection="1">
      <alignment horizontal="left" vertical="center"/>
      <protection hidden="1"/>
    </xf>
    <xf numFmtId="0" fontId="72" fillId="0" borderId="5" xfId="12" applyFont="1" applyFill="1" applyBorder="1" applyAlignment="1" applyProtection="1">
      <alignment vertical="center"/>
      <protection hidden="1"/>
    </xf>
    <xf numFmtId="0" fontId="72" fillId="0" borderId="2" xfId="0" applyFont="1" applyBorder="1"/>
    <xf numFmtId="10" fontId="76" fillId="0" borderId="0" xfId="17" applyNumberFormat="1" applyFont="1" applyFill="1" applyBorder="1" applyAlignment="1" applyProtection="1">
      <alignment horizontal="right" vertical="center"/>
      <protection hidden="1"/>
    </xf>
    <xf numFmtId="0" fontId="72" fillId="0" borderId="6" xfId="0" applyFont="1" applyBorder="1"/>
    <xf numFmtId="179" fontId="72" fillId="0" borderId="0" xfId="12" applyNumberFormat="1" applyFont="1" applyFill="1" applyBorder="1" applyProtection="1">
      <protection hidden="1"/>
    </xf>
    <xf numFmtId="10" fontId="71" fillId="0" borderId="0" xfId="17" applyNumberFormat="1" applyFont="1" applyFill="1" applyBorder="1" applyAlignment="1"/>
    <xf numFmtId="177" fontId="72" fillId="0" borderId="0" xfId="14" applyNumberFormat="1" applyFont="1" applyFill="1" applyBorder="1" applyAlignment="1" applyProtection="1">
      <alignment vertical="center"/>
      <protection hidden="1"/>
    </xf>
    <xf numFmtId="0" fontId="76" fillId="0" borderId="1" xfId="14" applyFont="1" applyFill="1" applyBorder="1" applyAlignment="1" applyProtection="1">
      <alignment horizontal="left" vertical="center"/>
      <protection hidden="1"/>
    </xf>
    <xf numFmtId="0" fontId="71" fillId="0" borderId="1" xfId="14" applyFont="1" applyFill="1" applyBorder="1" applyAlignment="1" applyProtection="1">
      <alignment vertical="center"/>
      <protection hidden="1"/>
    </xf>
    <xf numFmtId="0" fontId="72" fillId="0" borderId="1" xfId="0" applyFont="1" applyFill="1" applyBorder="1" applyAlignment="1">
      <alignment vertical="center"/>
    </xf>
    <xf numFmtId="0" fontId="79" fillId="0" borderId="1" xfId="14" applyFont="1" applyFill="1" applyBorder="1" applyAlignment="1" applyProtection="1">
      <alignment vertical="center"/>
      <protection hidden="1"/>
    </xf>
    <xf numFmtId="0" fontId="72" fillId="0" borderId="1" xfId="14" applyFont="1" applyFill="1" applyBorder="1" applyAlignment="1" applyProtection="1">
      <alignment vertical="center"/>
      <protection hidden="1"/>
    </xf>
    <xf numFmtId="10" fontId="76" fillId="0" borderId="1" xfId="17" applyNumberFormat="1" applyFont="1" applyFill="1" applyBorder="1" applyAlignment="1" applyProtection="1">
      <alignment vertical="center"/>
      <protection hidden="1"/>
    </xf>
    <xf numFmtId="0" fontId="70" fillId="0" borderId="0" xfId="0" applyFont="1" applyFill="1" applyAlignment="1">
      <alignment horizontal="left" indent="3"/>
    </xf>
    <xf numFmtId="0" fontId="70" fillId="0" borderId="0" xfId="0" applyFont="1" applyFill="1" applyAlignment="1">
      <alignment horizontal="left" indent="1"/>
    </xf>
    <xf numFmtId="178" fontId="70" fillId="0" borderId="0" xfId="0" applyNumberFormat="1" applyFont="1" applyFill="1"/>
    <xf numFmtId="177" fontId="70" fillId="0" borderId="0" xfId="0" applyNumberFormat="1" applyFont="1" applyFill="1"/>
    <xf numFmtId="2" fontId="93" fillId="61" borderId="5" xfId="14" applyNumberFormat="1" applyFont="1" applyFill="1" applyBorder="1" applyAlignment="1" applyProtection="1">
      <alignment horizontal="left" vertical="center"/>
      <protection hidden="1"/>
    </xf>
    <xf numFmtId="2" fontId="90" fillId="61" borderId="6" xfId="12" applyNumberFormat="1" applyFont="1" applyFill="1" applyBorder="1" applyProtection="1">
      <protection hidden="1"/>
    </xf>
    <xf numFmtId="2" fontId="90" fillId="61" borderId="7" xfId="12" applyNumberFormat="1" applyFont="1" applyFill="1" applyBorder="1" applyProtection="1">
      <protection hidden="1"/>
    </xf>
    <xf numFmtId="0" fontId="93" fillId="61" borderId="5" xfId="14" applyFont="1" applyFill="1" applyBorder="1" applyAlignment="1" applyProtection="1">
      <alignment horizontal="left" vertical="center"/>
      <protection hidden="1"/>
    </xf>
    <xf numFmtId="0" fontId="85" fillId="61" borderId="6" xfId="14" applyFont="1" applyFill="1" applyBorder="1" applyAlignment="1" applyProtection="1">
      <alignment horizontal="left" vertical="center"/>
      <protection hidden="1"/>
    </xf>
    <xf numFmtId="9" fontId="90" fillId="61" borderId="7" xfId="14" applyNumberFormat="1" applyFont="1" applyFill="1" applyBorder="1" applyAlignment="1" applyProtection="1">
      <alignment vertical="center"/>
      <protection hidden="1"/>
    </xf>
    <xf numFmtId="0" fontId="94" fillId="0" borderId="0" xfId="14" applyFont="1" applyFill="1" applyBorder="1" applyAlignment="1" applyProtection="1">
      <protection hidden="1"/>
    </xf>
    <xf numFmtId="0" fontId="94" fillId="0" borderId="0" xfId="14" applyFont="1" applyFill="1" applyBorder="1" applyAlignment="1" applyProtection="1">
      <alignment horizontal="center"/>
      <protection hidden="1"/>
    </xf>
    <xf numFmtId="0" fontId="94" fillId="0" borderId="0" xfId="14" applyFont="1" applyFill="1" applyBorder="1" applyAlignment="1" applyProtection="1">
      <alignment horizontal="right"/>
      <protection hidden="1"/>
    </xf>
    <xf numFmtId="169" fontId="94" fillId="0" borderId="0" xfId="4" applyFont="1" applyFill="1" applyBorder="1" applyAlignment="1" applyProtection="1">
      <alignment horizontal="center"/>
      <protection hidden="1"/>
    </xf>
    <xf numFmtId="173" fontId="94" fillId="0" borderId="0" xfId="4" applyNumberFormat="1" applyFont="1" applyFill="1" applyBorder="1" applyAlignment="1" applyProtection="1">
      <alignment horizontal="center"/>
      <protection hidden="1"/>
    </xf>
    <xf numFmtId="2" fontId="83" fillId="0" borderId="0" xfId="0" applyNumberFormat="1" applyFont="1" applyAlignment="1"/>
    <xf numFmtId="0" fontId="95" fillId="0" borderId="0" xfId="0" applyFont="1" applyFill="1" applyBorder="1" applyAlignment="1">
      <alignment horizontal="center" vertical="center"/>
    </xf>
    <xf numFmtId="173" fontId="95" fillId="0" borderId="0" xfId="0" applyNumberFormat="1" applyFont="1" applyFill="1" applyBorder="1" applyAlignment="1">
      <alignment horizontal="center" vertical="center"/>
    </xf>
    <xf numFmtId="1" fontId="84" fillId="0" borderId="0" xfId="0" applyNumberFormat="1" applyFont="1" applyAlignment="1">
      <alignment horizontal="left"/>
    </xf>
    <xf numFmtId="2" fontId="96" fillId="0" borderId="0" xfId="14" applyNumberFormat="1" applyFont="1" applyFill="1" applyBorder="1" applyAlignment="1" applyProtection="1">
      <alignment horizontal="right"/>
      <protection hidden="1"/>
    </xf>
    <xf numFmtId="2" fontId="96" fillId="0" borderId="0" xfId="14" applyNumberFormat="1" applyFont="1" applyFill="1" applyBorder="1" applyAlignment="1" applyProtection="1">
      <alignment horizontal="center"/>
      <protection hidden="1"/>
    </xf>
    <xf numFmtId="0" fontId="72" fillId="0" borderId="0" xfId="0" applyFont="1" applyAlignment="1">
      <alignment vertical="top" wrapText="1"/>
    </xf>
    <xf numFmtId="2" fontId="78" fillId="0" borderId="0" xfId="0" applyNumberFormat="1" applyFont="1" applyFill="1" applyBorder="1" applyAlignment="1">
      <alignment horizontal="center" vertical="center"/>
    </xf>
    <xf numFmtId="173" fontId="78" fillId="0" borderId="0" xfId="0" applyNumberFormat="1" applyFont="1" applyFill="1" applyBorder="1" applyAlignment="1">
      <alignment horizontal="center" vertical="center"/>
    </xf>
    <xf numFmtId="2" fontId="96" fillId="0" borderId="0" xfId="14" applyNumberFormat="1" applyFont="1" applyFill="1" applyBorder="1" applyAlignment="1" applyProtection="1">
      <alignment horizontal="center" wrapText="1"/>
      <protection hidden="1"/>
    </xf>
    <xf numFmtId="0" fontId="72" fillId="0" borderId="0" xfId="0" applyFont="1" applyAlignment="1">
      <alignment horizontal="center" wrapText="1"/>
    </xf>
    <xf numFmtId="2" fontId="72" fillId="0" borderId="5" xfId="14" applyNumberFormat="1" applyFont="1" applyFill="1" applyBorder="1" applyAlignment="1" applyProtection="1">
      <protection hidden="1"/>
    </xf>
    <xf numFmtId="2" fontId="97" fillId="0" borderId="6" xfId="4" applyNumberFormat="1" applyFont="1" applyFill="1" applyBorder="1" applyAlignment="1" applyProtection="1">
      <alignment horizontal="center" vertical="center"/>
      <protection hidden="1"/>
    </xf>
    <xf numFmtId="2" fontId="97" fillId="0" borderId="7" xfId="4" applyNumberFormat="1" applyFont="1" applyFill="1" applyBorder="1" applyAlignment="1" applyProtection="1">
      <alignment horizontal="right" vertical="center"/>
      <protection hidden="1"/>
    </xf>
    <xf numFmtId="2" fontId="76" fillId="0" borderId="1" xfId="4" applyNumberFormat="1" applyFont="1" applyFill="1" applyBorder="1" applyAlignment="1" applyProtection="1">
      <protection hidden="1"/>
    </xf>
    <xf numFmtId="173" fontId="78" fillId="0" borderId="8" xfId="0" applyNumberFormat="1" applyFont="1" applyFill="1" applyBorder="1" applyAlignment="1">
      <alignment horizontal="center" vertical="center"/>
    </xf>
    <xf numFmtId="1" fontId="77" fillId="0" borderId="1" xfId="14" applyNumberFormat="1" applyFont="1" applyFill="1" applyBorder="1" applyAlignment="1" applyProtection="1">
      <alignment horizontal="center"/>
      <protection hidden="1"/>
    </xf>
    <xf numFmtId="2" fontId="98" fillId="0" borderId="6" xfId="4" applyNumberFormat="1" applyFont="1" applyFill="1" applyBorder="1" applyAlignment="1" applyProtection="1">
      <alignment horizontal="left" vertical="center"/>
      <protection hidden="1"/>
    </xf>
    <xf numFmtId="2" fontId="94" fillId="0" borderId="7" xfId="4" applyNumberFormat="1" applyFont="1" applyFill="1" applyBorder="1" applyAlignment="1" applyProtection="1">
      <alignment horizontal="right" vertical="center"/>
      <protection hidden="1"/>
    </xf>
    <xf numFmtId="169" fontId="76" fillId="35" borderId="1" xfId="4" applyFont="1" applyFill="1" applyBorder="1" applyAlignment="1" applyProtection="1">
      <protection locked="0"/>
    </xf>
    <xf numFmtId="173" fontId="78" fillId="0" borderId="10" xfId="0" applyNumberFormat="1" applyFont="1" applyFill="1" applyBorder="1" applyAlignment="1">
      <alignment horizontal="center" vertical="center"/>
    </xf>
    <xf numFmtId="2" fontId="99" fillId="0" borderId="6" xfId="14" applyNumberFormat="1" applyFont="1" applyFill="1" applyBorder="1" applyAlignment="1" applyProtection="1">
      <protection hidden="1"/>
    </xf>
    <xf numFmtId="10" fontId="100" fillId="0" borderId="7" xfId="17" applyNumberFormat="1" applyFont="1" applyFill="1" applyBorder="1" applyAlignment="1" applyProtection="1">
      <alignment horizontal="right"/>
      <protection hidden="1"/>
    </xf>
    <xf numFmtId="0" fontId="72" fillId="0" borderId="5" xfId="14" applyFont="1" applyFill="1" applyBorder="1" applyAlignment="1" applyProtection="1">
      <protection hidden="1"/>
    </xf>
    <xf numFmtId="0" fontId="99" fillId="0" borderId="6" xfId="14" applyFont="1" applyFill="1" applyBorder="1" applyAlignment="1" applyProtection="1">
      <protection hidden="1"/>
    </xf>
    <xf numFmtId="0" fontId="99" fillId="0" borderId="7" xfId="14" applyFont="1" applyFill="1" applyBorder="1" applyAlignment="1" applyProtection="1">
      <alignment horizontal="right"/>
      <protection hidden="1"/>
    </xf>
    <xf numFmtId="169" fontId="76" fillId="0" borderId="1" xfId="4" applyFont="1" applyFill="1" applyBorder="1" applyAlignment="1" applyProtection="1">
      <protection locked="0"/>
    </xf>
    <xf numFmtId="0" fontId="100" fillId="0" borderId="6" xfId="14" applyFont="1" applyFill="1" applyBorder="1" applyAlignment="1" applyProtection="1">
      <alignment horizontal="right"/>
      <protection hidden="1"/>
    </xf>
    <xf numFmtId="0" fontId="100" fillId="0" borderId="7" xfId="14" applyFont="1" applyFill="1" applyBorder="1" applyAlignment="1" applyProtection="1">
      <alignment horizontal="right"/>
      <protection hidden="1"/>
    </xf>
    <xf numFmtId="169" fontId="76" fillId="0" borderId="1" xfId="4" applyFont="1" applyFill="1" applyBorder="1" applyAlignment="1" applyProtection="1">
      <protection hidden="1"/>
    </xf>
    <xf numFmtId="0" fontId="76" fillId="0" borderId="5" xfId="14" applyNumberFormat="1" applyFont="1" applyFill="1" applyBorder="1" applyAlignment="1" applyProtection="1">
      <protection hidden="1"/>
    </xf>
    <xf numFmtId="10" fontId="100" fillId="0" borderId="6" xfId="14" applyNumberFormat="1" applyFont="1" applyFill="1" applyBorder="1" applyAlignment="1" applyProtection="1">
      <alignment horizontal="right"/>
      <protection hidden="1"/>
    </xf>
    <xf numFmtId="0" fontId="99" fillId="0" borderId="6" xfId="14" applyFont="1" applyFill="1" applyBorder="1" applyAlignment="1" applyProtection="1">
      <alignment horizontal="center"/>
      <protection hidden="1"/>
    </xf>
    <xf numFmtId="173" fontId="101" fillId="0" borderId="1" xfId="17" applyNumberFormat="1" applyFont="1" applyFill="1" applyBorder="1" applyAlignment="1" applyProtection="1">
      <alignment horizontal="center"/>
      <protection hidden="1"/>
    </xf>
    <xf numFmtId="0" fontId="102" fillId="0" borderId="5" xfId="14" applyNumberFormat="1" applyFont="1" applyFill="1" applyBorder="1" applyAlignment="1" applyProtection="1">
      <protection hidden="1"/>
    </xf>
    <xf numFmtId="2" fontId="103" fillId="0" borderId="0" xfId="14" applyNumberFormat="1" applyFont="1" applyFill="1" applyBorder="1" applyAlignment="1" applyProtection="1">
      <alignment horizontal="center"/>
      <protection hidden="1"/>
    </xf>
    <xf numFmtId="173" fontId="74" fillId="0" borderId="10" xfId="0" applyNumberFormat="1" applyFont="1" applyFill="1" applyBorder="1" applyAlignment="1">
      <alignment horizontal="center" vertical="center"/>
    </xf>
    <xf numFmtId="0" fontId="74" fillId="0" borderId="0" xfId="0" applyFont="1" applyFill="1"/>
    <xf numFmtId="173" fontId="99" fillId="0" borderId="7" xfId="17" applyNumberFormat="1" applyFont="1" applyFill="1" applyBorder="1" applyAlignment="1" applyProtection="1">
      <alignment horizontal="right"/>
      <protection hidden="1"/>
    </xf>
    <xf numFmtId="169" fontId="99" fillId="0" borderId="6" xfId="14" applyNumberFormat="1" applyFont="1" applyFill="1" applyBorder="1" applyAlignment="1" applyProtection="1">
      <alignment horizontal="center"/>
      <protection hidden="1"/>
    </xf>
    <xf numFmtId="165" fontId="99" fillId="0" borderId="6" xfId="14" applyNumberFormat="1" applyFont="1" applyFill="1" applyBorder="1" applyAlignment="1" applyProtection="1">
      <alignment horizontal="center"/>
      <protection hidden="1"/>
    </xf>
    <xf numFmtId="2" fontId="76" fillId="0" borderId="1" xfId="4" applyNumberFormat="1" applyFont="1" applyFill="1" applyBorder="1" applyAlignment="1" applyProtection="1">
      <alignment horizontal="right"/>
      <protection locked="0"/>
    </xf>
    <xf numFmtId="167" fontId="99" fillId="0" borderId="7" xfId="9" applyFont="1" applyFill="1" applyBorder="1" applyAlignment="1" applyProtection="1">
      <alignment horizontal="right"/>
      <protection hidden="1"/>
    </xf>
    <xf numFmtId="0" fontId="77" fillId="0" borderId="1" xfId="0" applyFont="1" applyBorder="1"/>
    <xf numFmtId="10" fontId="99" fillId="0" borderId="7" xfId="17" applyNumberFormat="1" applyFont="1" applyFill="1" applyBorder="1" applyAlignment="1" applyProtection="1">
      <alignment horizontal="right"/>
      <protection hidden="1"/>
    </xf>
    <xf numFmtId="173" fontId="72" fillId="0" borderId="10" xfId="0" applyNumberFormat="1" applyFont="1" applyBorder="1"/>
    <xf numFmtId="169" fontId="99" fillId="0" borderId="7" xfId="14" applyNumberFormat="1" applyFont="1" applyFill="1" applyBorder="1" applyAlignment="1" applyProtection="1">
      <alignment horizontal="right"/>
      <protection hidden="1"/>
    </xf>
    <xf numFmtId="0" fontId="104" fillId="0" borderId="0" xfId="0" applyFont="1" applyFill="1" applyBorder="1"/>
    <xf numFmtId="0" fontId="104" fillId="0" borderId="8" xfId="0" applyFont="1" applyFill="1" applyBorder="1" applyAlignment="1">
      <alignment horizontal="right"/>
    </xf>
    <xf numFmtId="173" fontId="72" fillId="0" borderId="0" xfId="0" applyNumberFormat="1" applyFont="1" applyFill="1" applyBorder="1"/>
    <xf numFmtId="166" fontId="77" fillId="0" borderId="1" xfId="19" applyFont="1" applyBorder="1"/>
    <xf numFmtId="0" fontId="80" fillId="0" borderId="5" xfId="14" applyFont="1" applyFill="1" applyBorder="1" applyAlignment="1" applyProtection="1">
      <protection hidden="1"/>
    </xf>
    <xf numFmtId="169" fontId="100" fillId="0" borderId="6" xfId="14" applyNumberFormat="1" applyFont="1" applyFill="1" applyBorder="1" applyAlignment="1" applyProtection="1">
      <protection hidden="1"/>
    </xf>
    <xf numFmtId="169" fontId="100" fillId="0" borderId="7" xfId="14" applyNumberFormat="1" applyFont="1" applyFill="1" applyBorder="1" applyAlignment="1" applyProtection="1">
      <alignment horizontal="right"/>
      <protection hidden="1"/>
    </xf>
    <xf numFmtId="177" fontId="80" fillId="0" borderId="1" xfId="6" applyNumberFormat="1" applyFont="1" applyFill="1" applyBorder="1" applyAlignment="1" applyProtection="1">
      <protection hidden="1"/>
    </xf>
    <xf numFmtId="177" fontId="74" fillId="0" borderId="0" xfId="0" applyNumberFormat="1" applyFont="1" applyFill="1" applyAlignment="1"/>
    <xf numFmtId="0" fontId="74" fillId="0" borderId="0" xfId="0" applyFont="1" applyFill="1" applyBorder="1" applyAlignment="1"/>
    <xf numFmtId="0" fontId="100" fillId="0" borderId="0" xfId="0" applyFont="1" applyFill="1" applyBorder="1" applyAlignment="1"/>
    <xf numFmtId="0" fontId="100" fillId="0" borderId="10" xfId="0" applyFont="1" applyFill="1" applyBorder="1" applyAlignment="1">
      <alignment horizontal="right"/>
    </xf>
    <xf numFmtId="0" fontId="74" fillId="0" borderId="0" xfId="0" applyFont="1" applyFill="1" applyAlignment="1"/>
    <xf numFmtId="0" fontId="100" fillId="0" borderId="0" xfId="0" applyFont="1"/>
    <xf numFmtId="0" fontId="100" fillId="0" borderId="0" xfId="0" applyFont="1" applyAlignment="1">
      <alignment horizontal="right"/>
    </xf>
    <xf numFmtId="173" fontId="74" fillId="0" borderId="0" xfId="0" applyNumberFormat="1" applyFont="1"/>
    <xf numFmtId="0" fontId="74" fillId="0" borderId="0" xfId="0" applyFont="1" applyAlignment="1">
      <alignment horizontal="right"/>
    </xf>
    <xf numFmtId="2" fontId="87" fillId="0" borderId="0" xfId="0" applyNumberFormat="1" applyFont="1" applyAlignment="1"/>
    <xf numFmtId="2" fontId="88" fillId="0" borderId="0" xfId="0" applyNumberFormat="1" applyFont="1"/>
    <xf numFmtId="0" fontId="105" fillId="0" borderId="0" xfId="14" applyFont="1" applyFill="1" applyBorder="1" applyAlignment="1" applyProtection="1">
      <alignment horizontal="right"/>
      <protection hidden="1"/>
    </xf>
    <xf numFmtId="1" fontId="88" fillId="0" borderId="0" xfId="0" applyNumberFormat="1" applyFont="1" applyAlignment="1">
      <alignment horizontal="left"/>
    </xf>
    <xf numFmtId="2" fontId="105" fillId="0" borderId="0" xfId="14" applyNumberFormat="1" applyFont="1" applyFill="1" applyBorder="1" applyAlignment="1" applyProtection="1">
      <alignment horizontal="right"/>
      <protection hidden="1"/>
    </xf>
    <xf numFmtId="2" fontId="85" fillId="61" borderId="5" xfId="14" applyNumberFormat="1" applyFont="1" applyFill="1" applyBorder="1" applyAlignment="1" applyProtection="1">
      <alignment horizontal="left" vertical="center" wrapText="1"/>
      <protection hidden="1"/>
    </xf>
    <xf numFmtId="2" fontId="107" fillId="61" borderId="6" xfId="14" applyNumberFormat="1" applyFont="1" applyFill="1" applyBorder="1" applyAlignment="1" applyProtection="1">
      <alignment horizontal="center" wrapText="1"/>
      <protection hidden="1"/>
    </xf>
    <xf numFmtId="2" fontId="107" fillId="61" borderId="7" xfId="14" applyNumberFormat="1" applyFont="1" applyFill="1" applyBorder="1" applyAlignment="1" applyProtection="1">
      <alignment horizontal="right" wrapText="1"/>
      <protection hidden="1"/>
    </xf>
    <xf numFmtId="2" fontId="107" fillId="61" borderId="5" xfId="14" applyNumberFormat="1" applyFont="1" applyFill="1" applyBorder="1" applyAlignment="1" applyProtection="1">
      <alignment horizontal="left" vertical="center" wrapText="1"/>
      <protection hidden="1"/>
    </xf>
    <xf numFmtId="0" fontId="109" fillId="0" borderId="6" xfId="14" applyFont="1" applyFill="1" applyBorder="1" applyAlignment="1" applyProtection="1">
      <alignment horizontal="center"/>
      <protection hidden="1"/>
    </xf>
    <xf numFmtId="9" fontId="77" fillId="61" borderId="1" xfId="66" applyFont="1" applyFill="1" applyBorder="1" applyAlignment="1">
      <alignment horizontal="center"/>
    </xf>
    <xf numFmtId="169" fontId="109" fillId="0" borderId="6" xfId="14" applyNumberFormat="1" applyFont="1" applyFill="1" applyBorder="1" applyAlignment="1" applyProtection="1">
      <protection hidden="1"/>
    </xf>
    <xf numFmtId="0" fontId="75" fillId="0" borderId="0" xfId="0" applyFont="1"/>
    <xf numFmtId="0" fontId="75" fillId="0" borderId="0" xfId="0" applyFont="1" applyAlignment="1">
      <alignment wrapText="1"/>
    </xf>
    <xf numFmtId="0" fontId="72" fillId="0" borderId="1" xfId="0" applyFont="1" applyBorder="1"/>
    <xf numFmtId="0" fontId="72" fillId="0" borderId="1" xfId="0" applyFont="1" applyBorder="1" applyAlignment="1">
      <alignment horizontal="center"/>
    </xf>
    <xf numFmtId="166" fontId="72" fillId="0" borderId="1" xfId="19" applyFont="1" applyBorder="1"/>
    <xf numFmtId="0" fontId="77" fillId="0" borderId="5" xfId="0" applyFont="1" applyBorder="1"/>
    <xf numFmtId="0" fontId="77" fillId="0" borderId="6" xfId="0" applyFont="1" applyBorder="1"/>
    <xf numFmtId="0" fontId="86" fillId="61" borderId="1" xfId="60" applyFont="1" applyFill="1" applyBorder="1" applyAlignment="1">
      <alignment horizontal="left" vertical="top" wrapText="1"/>
    </xf>
    <xf numFmtId="0" fontId="104" fillId="0" borderId="0" xfId="11" applyFont="1" applyBorder="1" applyAlignment="1"/>
    <xf numFmtId="0" fontId="104" fillId="0" borderId="0" xfId="11" applyFont="1" applyFill="1" applyBorder="1"/>
    <xf numFmtId="177" fontId="104" fillId="0" borderId="0" xfId="11" applyNumberFormat="1" applyFont="1" applyFill="1" applyBorder="1"/>
    <xf numFmtId="2" fontId="104" fillId="0" borderId="0" xfId="11" applyNumberFormat="1" applyFont="1" applyFill="1"/>
    <xf numFmtId="2" fontId="83" fillId="0" borderId="0" xfId="11" applyNumberFormat="1" applyFont="1" applyFill="1" applyBorder="1" applyAlignment="1">
      <alignment vertical="center"/>
    </xf>
    <xf numFmtId="2" fontId="83" fillId="0" borderId="0" xfId="11" applyNumberFormat="1" applyFont="1" applyFill="1" applyBorder="1" applyAlignment="1">
      <alignment horizontal="right" vertical="center"/>
    </xf>
    <xf numFmtId="2" fontId="84" fillId="0" borderId="0" xfId="11" applyNumberFormat="1" applyFont="1" applyFill="1" applyBorder="1" applyAlignment="1">
      <alignment vertical="center"/>
    </xf>
    <xf numFmtId="0" fontId="78" fillId="0" borderId="0" xfId="15" applyFont="1" applyFill="1" applyBorder="1"/>
    <xf numFmtId="2" fontId="78" fillId="0" borderId="0" xfId="15" applyNumberFormat="1" applyFont="1" applyFill="1" applyBorder="1"/>
    <xf numFmtId="0" fontId="72" fillId="0" borderId="1" xfId="11" applyFont="1" applyFill="1" applyBorder="1"/>
    <xf numFmtId="0" fontId="72" fillId="0" borderId="0" xfId="11" applyFont="1" applyFill="1" applyBorder="1" applyAlignment="1"/>
    <xf numFmtId="0" fontId="104" fillId="0" borderId="0" xfId="11" applyFont="1" applyFill="1" applyBorder="1" applyAlignment="1"/>
    <xf numFmtId="0" fontId="72" fillId="0" borderId="1" xfId="11" applyFont="1" applyFill="1" applyBorder="1" applyAlignment="1"/>
    <xf numFmtId="0" fontId="72" fillId="0" borderId="6" xfId="11" applyFont="1" applyFill="1" applyBorder="1" applyAlignment="1"/>
    <xf numFmtId="0" fontId="72" fillId="0" borderId="2" xfId="11" applyFont="1" applyFill="1" applyBorder="1" applyAlignment="1"/>
    <xf numFmtId="0" fontId="72" fillId="0" borderId="0" xfId="11" applyFont="1" applyFill="1" applyBorder="1"/>
    <xf numFmtId="0" fontId="72" fillId="0" borderId="0" xfId="0" applyFont="1" applyAlignment="1">
      <alignment horizontal="left" vertical="center" indent="6"/>
    </xf>
    <xf numFmtId="0" fontId="72" fillId="0" borderId="5" xfId="10" applyFont="1" applyFill="1" applyBorder="1" applyAlignment="1" applyProtection="1">
      <alignment horizontal="left"/>
      <protection hidden="1"/>
    </xf>
    <xf numFmtId="0" fontId="72" fillId="0" borderId="7" xfId="10" applyFont="1" applyFill="1" applyBorder="1" applyAlignment="1" applyProtection="1">
      <alignment horizontal="left"/>
      <protection hidden="1"/>
    </xf>
    <xf numFmtId="0" fontId="72" fillId="0" borderId="1" xfId="10" applyFont="1" applyFill="1" applyBorder="1" applyAlignment="1" applyProtection="1">
      <alignment horizontal="left"/>
      <protection hidden="1"/>
    </xf>
    <xf numFmtId="0" fontId="72" fillId="0" borderId="1" xfId="10" applyFont="1" applyFill="1" applyBorder="1" applyAlignment="1" applyProtection="1">
      <alignment horizontal="center"/>
      <protection hidden="1"/>
    </xf>
    <xf numFmtId="0" fontId="72" fillId="0" borderId="1" xfId="10" applyNumberFormat="1" applyFont="1" applyFill="1" applyBorder="1" applyAlignment="1" applyProtection="1">
      <alignment horizontal="left"/>
      <protection hidden="1"/>
    </xf>
    <xf numFmtId="0" fontId="77" fillId="0" borderId="0" xfId="10" applyNumberFormat="1" applyFont="1" applyFill="1" applyBorder="1" applyAlignment="1" applyProtection="1">
      <alignment horizontal="left" vertical="center"/>
      <protection hidden="1"/>
    </xf>
    <xf numFmtId="0" fontId="72" fillId="0" borderId="6" xfId="10" applyFont="1" applyFill="1" applyBorder="1" applyAlignment="1" applyProtection="1">
      <alignment horizontal="left" vertical="top"/>
      <protection hidden="1"/>
    </xf>
    <xf numFmtId="0" fontId="72" fillId="0" borderId="7" xfId="10" applyFont="1" applyFill="1" applyBorder="1" applyAlignment="1" applyProtection="1">
      <alignment horizontal="center" vertical="top"/>
      <protection hidden="1"/>
    </xf>
    <xf numFmtId="0" fontId="72" fillId="0" borderId="1" xfId="10" applyFont="1" applyFill="1" applyBorder="1" applyAlignment="1" applyProtection="1">
      <alignment horizontal="left" vertical="center"/>
      <protection hidden="1"/>
    </xf>
    <xf numFmtId="0" fontId="72" fillId="0" borderId="5" xfId="10" applyFont="1" applyFill="1" applyBorder="1" applyAlignment="1" applyProtection="1">
      <alignment horizontal="left" vertical="center"/>
      <protection hidden="1"/>
    </xf>
    <xf numFmtId="0" fontId="72" fillId="0" borderId="1" xfId="10" applyFont="1" applyFill="1" applyBorder="1" applyAlignment="1" applyProtection="1">
      <alignment horizontal="left" wrapText="1"/>
      <protection hidden="1"/>
    </xf>
    <xf numFmtId="0" fontId="72" fillId="0" borderId="7" xfId="10" applyFont="1" applyFill="1" applyBorder="1" applyAlignment="1" applyProtection="1">
      <alignment horizontal="left" wrapText="1"/>
      <protection hidden="1"/>
    </xf>
    <xf numFmtId="0" fontId="72" fillId="0" borderId="1" xfId="10" applyFont="1" applyFill="1" applyBorder="1" applyAlignment="1" applyProtection="1">
      <alignment horizontal="right"/>
      <protection hidden="1"/>
    </xf>
    <xf numFmtId="0" fontId="72" fillId="0" borderId="1" xfId="10" applyFont="1" applyFill="1" applyBorder="1" applyAlignment="1" applyProtection="1">
      <alignment horizontal="center" wrapText="1"/>
      <protection hidden="1"/>
    </xf>
    <xf numFmtId="0" fontId="106" fillId="0" borderId="0" xfId="10" applyNumberFormat="1" applyFont="1" applyFill="1" applyBorder="1" applyAlignment="1" applyProtection="1">
      <alignment horizontal="left" vertical="center"/>
      <protection hidden="1"/>
    </xf>
    <xf numFmtId="0" fontId="85" fillId="61" borderId="5" xfId="10" applyNumberFormat="1" applyFont="1" applyFill="1" applyBorder="1" applyAlignment="1" applyProtection="1">
      <alignment horizontal="left" vertical="center"/>
      <protection hidden="1"/>
    </xf>
    <xf numFmtId="0" fontId="90" fillId="61" borderId="6" xfId="11" applyFont="1" applyFill="1" applyBorder="1"/>
    <xf numFmtId="0" fontId="108" fillId="61" borderId="6" xfId="11" applyFont="1" applyFill="1" applyBorder="1"/>
    <xf numFmtId="0" fontId="108" fillId="61" borderId="7" xfId="11" applyFont="1" applyFill="1" applyBorder="1"/>
    <xf numFmtId="0" fontId="90" fillId="61" borderId="6" xfId="11" applyFont="1" applyFill="1" applyBorder="1" applyAlignment="1"/>
    <xf numFmtId="0" fontId="90" fillId="61" borderId="7" xfId="11" applyFont="1" applyFill="1" applyBorder="1" applyAlignment="1"/>
    <xf numFmtId="0" fontId="85" fillId="61" borderId="5" xfId="10" applyNumberFormat="1" applyFont="1" applyFill="1" applyBorder="1" applyAlignment="1" applyProtection="1">
      <alignment vertical="center"/>
      <protection hidden="1"/>
    </xf>
    <xf numFmtId="0" fontId="74" fillId="0" borderId="0" xfId="14" applyFont="1" applyFill="1" applyAlignment="1" applyProtection="1">
      <alignment horizontal="center"/>
      <protection hidden="1"/>
    </xf>
    <xf numFmtId="172" fontId="72" fillId="0" borderId="0" xfId="9" applyNumberFormat="1" applyFont="1" applyFill="1" applyAlignment="1" applyProtection="1">
      <protection hidden="1"/>
    </xf>
    <xf numFmtId="0" fontId="72" fillId="0" borderId="0" xfId="85" applyFont="1"/>
    <xf numFmtId="0" fontId="73" fillId="0" borderId="0" xfId="14" applyFont="1" applyFill="1" applyBorder="1" applyAlignment="1" applyProtection="1">
      <protection hidden="1"/>
    </xf>
    <xf numFmtId="0" fontId="72" fillId="0" borderId="1" xfId="104" applyFont="1" applyBorder="1" applyAlignment="1">
      <alignment vertical="top" wrapText="1"/>
    </xf>
    <xf numFmtId="173" fontId="73" fillId="0" borderId="0" xfId="4" applyNumberFormat="1" applyFont="1" applyFill="1" applyBorder="1" applyAlignment="1" applyProtection="1">
      <alignment horizontal="center"/>
      <protection hidden="1"/>
    </xf>
    <xf numFmtId="169" fontId="73" fillId="0" borderId="0" xfId="4" applyFont="1" applyFill="1" applyBorder="1" applyAlignment="1" applyProtection="1">
      <alignment horizontal="center"/>
      <protection hidden="1"/>
    </xf>
    <xf numFmtId="0" fontId="73" fillId="0" borderId="0" xfId="14" applyFont="1" applyFill="1" applyBorder="1" applyAlignment="1" applyProtection="1">
      <alignment horizontal="center"/>
      <protection hidden="1"/>
    </xf>
    <xf numFmtId="0" fontId="72" fillId="0" borderId="0" xfId="85" applyFont="1" applyFill="1" applyBorder="1" applyAlignment="1">
      <alignment horizontal="center" vertical="center"/>
    </xf>
    <xf numFmtId="173" fontId="72" fillId="0" borderId="0" xfId="85" applyNumberFormat="1" applyFont="1" applyFill="1" applyBorder="1" applyAlignment="1">
      <alignment horizontal="center" vertical="center"/>
    </xf>
    <xf numFmtId="0" fontId="72" fillId="0" borderId="0" xfId="85" applyFont="1" applyFill="1" applyBorder="1"/>
    <xf numFmtId="0" fontId="72" fillId="0" borderId="0" xfId="104" applyFont="1"/>
    <xf numFmtId="44" fontId="72" fillId="0" borderId="1" xfId="67" applyFont="1" applyBorder="1" applyAlignment="1">
      <alignment vertical="top" wrapText="1"/>
    </xf>
    <xf numFmtId="49" fontId="72" fillId="0" borderId="1" xfId="104" applyNumberFormat="1" applyFont="1" applyBorder="1" applyAlignment="1">
      <alignment horizontal="center" vertical="top" wrapText="1"/>
    </xf>
    <xf numFmtId="0" fontId="72" fillId="0" borderId="0" xfId="104" applyFont="1" applyAlignment="1">
      <alignment horizontal="center"/>
    </xf>
    <xf numFmtId="172" fontId="72" fillId="0" borderId="0" xfId="9" applyNumberFormat="1" applyFont="1"/>
    <xf numFmtId="167" fontId="72" fillId="0" borderId="0" xfId="106" applyFont="1"/>
    <xf numFmtId="172" fontId="86" fillId="61" borderId="4" xfId="9" applyNumberFormat="1" applyFont="1" applyFill="1" applyBorder="1" applyAlignment="1">
      <alignment vertical="top" wrapText="1"/>
    </xf>
    <xf numFmtId="2" fontId="83" fillId="0" borderId="0" xfId="64" applyNumberFormat="1" applyFont="1" applyFill="1" applyBorder="1" applyAlignment="1"/>
    <xf numFmtId="2" fontId="88" fillId="0" borderId="0" xfId="64" applyNumberFormat="1" applyFont="1" applyFill="1" applyBorder="1" applyAlignment="1">
      <alignment horizontal="left"/>
    </xf>
    <xf numFmtId="0" fontId="104" fillId="0" borderId="0" xfId="11" applyNumberFormat="1" applyFont="1" applyAlignment="1">
      <alignment horizontal="center"/>
    </xf>
    <xf numFmtId="0" fontId="84" fillId="0" borderId="0" xfId="64" applyNumberFormat="1" applyFont="1" applyFill="1" applyBorder="1" applyAlignment="1">
      <alignment horizontal="center"/>
    </xf>
    <xf numFmtId="0" fontId="84" fillId="0" borderId="0" xfId="11" applyNumberFormat="1" applyFont="1" applyFill="1" applyBorder="1" applyAlignment="1">
      <alignment horizontal="center" vertical="center"/>
    </xf>
    <xf numFmtId="2" fontId="83" fillId="0" borderId="0" xfId="11" applyNumberFormat="1" applyFont="1" applyFill="1" applyBorder="1" applyAlignment="1">
      <alignment vertical="center" wrapText="1"/>
    </xf>
    <xf numFmtId="0" fontId="72" fillId="0" borderId="1" xfId="90" applyNumberFormat="1" applyFont="1" applyFill="1" applyBorder="1" applyAlignment="1" applyProtection="1">
      <alignment horizontal="left" vertical="center"/>
      <protection hidden="1"/>
    </xf>
    <xf numFmtId="0" fontId="104" fillId="0" borderId="0" xfId="11" applyNumberFormat="1" applyFont="1" applyBorder="1" applyAlignment="1">
      <alignment horizontal="center"/>
    </xf>
    <xf numFmtId="0" fontId="104" fillId="0" borderId="0" xfId="11" applyFont="1" applyBorder="1"/>
    <xf numFmtId="2" fontId="86" fillId="61" borderId="38" xfId="90" applyNumberFormat="1" applyFont="1" applyFill="1" applyBorder="1" applyAlignment="1" applyProtection="1">
      <alignment vertical="center" wrapText="1"/>
      <protection hidden="1"/>
    </xf>
    <xf numFmtId="0" fontId="86" fillId="61" borderId="38" xfId="90" applyNumberFormat="1" applyFont="1" applyFill="1" applyBorder="1" applyAlignment="1" applyProtection="1">
      <alignment horizontal="center" vertical="center" wrapText="1"/>
      <protection hidden="1"/>
    </xf>
    <xf numFmtId="177" fontId="86" fillId="61" borderId="1" xfId="90" applyNumberFormat="1" applyFont="1" applyFill="1" applyBorder="1" applyAlignment="1" applyProtection="1">
      <alignment horizontal="center" vertical="center" wrapText="1"/>
      <protection hidden="1"/>
    </xf>
    <xf numFmtId="0" fontId="98" fillId="0" borderId="0" xfId="11" applyFont="1" applyBorder="1"/>
    <xf numFmtId="0" fontId="77" fillId="0" borderId="5" xfId="14" applyFont="1" applyFill="1" applyBorder="1" applyAlignment="1" applyProtection="1">
      <alignment vertical="center"/>
      <protection hidden="1"/>
    </xf>
    <xf numFmtId="10" fontId="77" fillId="0" borderId="1" xfId="17" applyNumberFormat="1" applyFont="1" applyFill="1" applyBorder="1" applyAlignment="1"/>
    <xf numFmtId="0" fontId="77" fillId="0" borderId="1" xfId="14" applyFont="1" applyFill="1" applyBorder="1" applyAlignment="1" applyProtection="1">
      <alignment vertical="center"/>
      <protection hidden="1"/>
    </xf>
    <xf numFmtId="2" fontId="77" fillId="0" borderId="1" xfId="14" applyNumberFormat="1" applyFont="1" applyFill="1" applyBorder="1" applyAlignment="1" applyProtection="1">
      <alignment vertical="center"/>
      <protection hidden="1"/>
    </xf>
    <xf numFmtId="10" fontId="77" fillId="0" borderId="1" xfId="17" applyNumberFormat="1" applyFont="1" applyFill="1" applyBorder="1" applyAlignment="1" applyProtection="1">
      <alignment vertical="center"/>
      <protection hidden="1"/>
    </xf>
    <xf numFmtId="0" fontId="77" fillId="0" borderId="5" xfId="14" applyFont="1" applyFill="1" applyBorder="1" applyAlignment="1" applyProtection="1">
      <protection hidden="1"/>
    </xf>
    <xf numFmtId="0" fontId="104" fillId="0" borderId="6" xfId="14" applyFont="1" applyFill="1" applyBorder="1" applyAlignment="1" applyProtection="1">
      <protection hidden="1"/>
    </xf>
    <xf numFmtId="0" fontId="104" fillId="0" borderId="7" xfId="14" applyFont="1" applyFill="1" applyBorder="1" applyAlignment="1" applyProtection="1">
      <alignment horizontal="right"/>
      <protection hidden="1"/>
    </xf>
    <xf numFmtId="2" fontId="105" fillId="0" borderId="0" xfId="14" applyNumberFormat="1" applyFont="1" applyFill="1" applyBorder="1" applyAlignment="1" applyProtection="1">
      <alignment horizontal="center"/>
      <protection hidden="1"/>
    </xf>
    <xf numFmtId="177" fontId="77" fillId="0" borderId="1" xfId="4" applyNumberFormat="1" applyFont="1" applyFill="1" applyBorder="1" applyAlignment="1" applyProtection="1">
      <protection hidden="1"/>
    </xf>
    <xf numFmtId="177" fontId="77" fillId="0" borderId="9" xfId="6" applyNumberFormat="1" applyFont="1" applyFill="1" applyBorder="1" applyAlignment="1" applyProtection="1">
      <protection hidden="1"/>
    </xf>
    <xf numFmtId="169" fontId="104" fillId="0" borderId="6" xfId="14" applyNumberFormat="1" applyFont="1" applyFill="1" applyBorder="1" applyAlignment="1" applyProtection="1">
      <protection hidden="1"/>
    </xf>
    <xf numFmtId="173" fontId="72" fillId="0" borderId="11" xfId="0" applyNumberFormat="1" applyFont="1" applyFill="1" applyBorder="1" applyAlignment="1">
      <alignment horizontal="center" vertical="center"/>
    </xf>
    <xf numFmtId="0" fontId="74" fillId="0" borderId="5" xfId="14" applyNumberFormat="1" applyFont="1" applyFill="1" applyBorder="1" applyAlignment="1" applyProtection="1">
      <protection hidden="1"/>
    </xf>
    <xf numFmtId="173" fontId="72" fillId="0" borderId="10" xfId="0" applyNumberFormat="1" applyFont="1" applyFill="1" applyBorder="1" applyAlignment="1">
      <alignment horizontal="center" vertical="center"/>
    </xf>
    <xf numFmtId="0" fontId="86" fillId="61" borderId="1" xfId="14" applyFont="1" applyFill="1" applyBorder="1" applyAlignment="1" applyProtection="1">
      <alignment horizontal="left" vertical="center"/>
      <protection hidden="1"/>
    </xf>
    <xf numFmtId="2" fontId="86" fillId="61" borderId="1" xfId="0" applyNumberFormat="1" applyFont="1" applyFill="1" applyBorder="1" applyAlignment="1">
      <alignment horizontal="center" vertical="center" wrapText="1"/>
    </xf>
    <xf numFmtId="0" fontId="86" fillId="61" borderId="1" xfId="0" applyNumberFormat="1" applyFont="1" applyFill="1" applyBorder="1" applyAlignment="1">
      <alignment horizontal="left" vertical="center" wrapText="1"/>
    </xf>
    <xf numFmtId="172" fontId="72" fillId="0" borderId="1" xfId="9" applyNumberFormat="1" applyFont="1" applyFill="1" applyBorder="1" applyAlignment="1">
      <alignment horizontal="center" vertical="center"/>
    </xf>
    <xf numFmtId="0" fontId="77" fillId="0" borderId="1" xfId="0" applyFont="1" applyBorder="1" applyAlignment="1">
      <alignment vertical="center"/>
    </xf>
    <xf numFmtId="0" fontId="77" fillId="0" borderId="1" xfId="0" applyFont="1" applyFill="1" applyBorder="1" applyAlignment="1"/>
    <xf numFmtId="0" fontId="77" fillId="0" borderId="0" xfId="18" applyFont="1" applyFill="1"/>
    <xf numFmtId="0" fontId="77" fillId="0" borderId="1" xfId="0" applyFont="1" applyFill="1" applyBorder="1" applyAlignment="1">
      <alignment horizontal="center" vertical="center"/>
    </xf>
    <xf numFmtId="172" fontId="77" fillId="0" borderId="1" xfId="9" applyNumberFormat="1" applyFont="1" applyFill="1" applyBorder="1" applyAlignment="1">
      <alignment horizontal="center" vertical="center"/>
    </xf>
    <xf numFmtId="1" fontId="81" fillId="0" borderId="5" xfId="0" applyNumberFormat="1" applyFont="1" applyFill="1" applyBorder="1" applyAlignment="1">
      <alignment horizontal="left" vertical="center"/>
    </xf>
    <xf numFmtId="1" fontId="81" fillId="0" borderId="6" xfId="0" applyNumberFormat="1" applyFont="1" applyFill="1" applyBorder="1" applyAlignment="1">
      <alignment horizontal="left" vertical="center"/>
    </xf>
    <xf numFmtId="49" fontId="91" fillId="63" borderId="1" xfId="10" applyNumberFormat="1" applyFont="1" applyFill="1" applyBorder="1" applyAlignment="1" applyProtection="1">
      <alignment horizontal="left" vertical="top"/>
      <protection hidden="1"/>
    </xf>
    <xf numFmtId="0" fontId="91" fillId="0" borderId="0" xfId="14" applyFont="1" applyFill="1" applyBorder="1" applyAlignment="1" applyProtection="1">
      <alignment horizontal="left" vertical="center"/>
      <protection hidden="1"/>
    </xf>
    <xf numFmtId="49" fontId="91" fillId="63" borderId="1" xfId="63" applyNumberFormat="1" applyFont="1" applyFill="1" applyBorder="1" applyAlignment="1" applyProtection="1">
      <alignment horizontal="left" vertical="top"/>
      <protection hidden="1"/>
    </xf>
    <xf numFmtId="0" fontId="77" fillId="2" borderId="0" xfId="0" applyFont="1" applyFill="1" applyAlignment="1">
      <alignment horizontal="center"/>
    </xf>
    <xf numFmtId="0" fontId="72" fillId="2" borderId="0" xfId="0" applyFont="1" applyFill="1"/>
    <xf numFmtId="2" fontId="92" fillId="61" borderId="4" xfId="0" applyNumberFormat="1" applyFont="1" applyFill="1" applyBorder="1" applyAlignment="1">
      <alignment horizontal="center" vertical="top" wrapText="1"/>
    </xf>
    <xf numFmtId="178" fontId="72" fillId="62" borderId="1" xfId="66" applyNumberFormat="1" applyFont="1" applyFill="1" applyBorder="1" applyAlignment="1">
      <alignment horizontal="center"/>
    </xf>
    <xf numFmtId="0" fontId="74" fillId="62" borderId="1" xfId="14" applyFont="1" applyFill="1" applyBorder="1" applyAlignment="1" applyProtection="1">
      <protection hidden="1"/>
    </xf>
    <xf numFmtId="175" fontId="72" fillId="62" borderId="1" xfId="12" applyNumberFormat="1" applyFont="1" applyFill="1" applyBorder="1" applyAlignment="1" applyProtection="1">
      <alignment vertical="center"/>
      <protection hidden="1"/>
    </xf>
    <xf numFmtId="166" fontId="76" fillId="62" borderId="1" xfId="19" applyFont="1" applyFill="1" applyBorder="1" applyAlignment="1" applyProtection="1">
      <alignment horizontal="right" vertical="center"/>
      <protection hidden="1"/>
    </xf>
    <xf numFmtId="10" fontId="72" fillId="62" borderId="1" xfId="12" applyNumberFormat="1" applyFont="1" applyFill="1" applyBorder="1" applyAlignment="1" applyProtection="1">
      <alignment vertical="center"/>
      <protection hidden="1"/>
    </xf>
    <xf numFmtId="2" fontId="76" fillId="62" borderId="1" xfId="14" applyNumberFormat="1" applyFont="1" applyFill="1" applyBorder="1" applyAlignment="1" applyProtection="1">
      <alignment horizontal="right" vertical="center"/>
      <protection hidden="1"/>
    </xf>
    <xf numFmtId="169" fontId="76" fillId="63" borderId="1" xfId="4" applyFont="1" applyFill="1" applyBorder="1" applyAlignment="1" applyProtection="1">
      <protection locked="0"/>
    </xf>
    <xf numFmtId="10" fontId="99" fillId="62" borderId="1" xfId="17" applyNumberFormat="1" applyFont="1" applyFill="1" applyBorder="1" applyAlignment="1" applyProtection="1">
      <alignment horizontal="right"/>
      <protection hidden="1"/>
    </xf>
    <xf numFmtId="0" fontId="72" fillId="62" borderId="5" xfId="14" applyFont="1" applyFill="1" applyBorder="1" applyAlignment="1" applyProtection="1">
      <protection hidden="1"/>
    </xf>
    <xf numFmtId="9" fontId="76" fillId="62" borderId="1" xfId="17" applyNumberFormat="1" applyFont="1" applyFill="1" applyBorder="1" applyAlignment="1" applyProtection="1">
      <alignment horizontal="center"/>
      <protection hidden="1"/>
    </xf>
    <xf numFmtId="0" fontId="74" fillId="62" borderId="1" xfId="11" applyFont="1" applyFill="1" applyBorder="1"/>
    <xf numFmtId="3" fontId="76" fillId="62" borderId="1" xfId="63" applyNumberFormat="1" applyFont="1" applyFill="1" applyBorder="1" applyAlignment="1" applyProtection="1">
      <alignment horizontal="center"/>
      <protection hidden="1"/>
    </xf>
    <xf numFmtId="44" fontId="76" fillId="63" borderId="1" xfId="67" applyFont="1" applyFill="1" applyBorder="1" applyAlignment="1" applyProtection="1">
      <protection locked="0"/>
    </xf>
    <xf numFmtId="177" fontId="72" fillId="62" borderId="1" xfId="90" applyNumberFormat="1" applyFont="1" applyFill="1" applyBorder="1" applyAlignment="1" applyProtection="1">
      <alignment vertical="center"/>
      <protection hidden="1"/>
    </xf>
    <xf numFmtId="44" fontId="72" fillId="63" borderId="1" xfId="67" applyFont="1" applyFill="1" applyBorder="1" applyAlignment="1" applyProtection="1">
      <protection locked="0"/>
    </xf>
    <xf numFmtId="0" fontId="72" fillId="62" borderId="1" xfId="11" applyFont="1" applyFill="1" applyBorder="1" applyAlignment="1"/>
    <xf numFmtId="0" fontId="72" fillId="62" borderId="2" xfId="11" applyFont="1" applyFill="1" applyBorder="1" applyAlignment="1"/>
    <xf numFmtId="177" fontId="104" fillId="62" borderId="1" xfId="11" applyNumberFormat="1" applyFont="1" applyFill="1" applyBorder="1" applyAlignment="1"/>
    <xf numFmtId="0" fontId="72" fillId="62" borderId="6" xfId="11" applyFont="1" applyFill="1" applyBorder="1" applyAlignment="1"/>
    <xf numFmtId="0" fontId="72" fillId="62" borderId="5" xfId="11" applyFont="1" applyFill="1" applyBorder="1" applyAlignment="1"/>
    <xf numFmtId="177" fontId="104" fillId="62" borderId="1" xfId="11" applyNumberFormat="1" applyFont="1" applyFill="1" applyBorder="1"/>
    <xf numFmtId="0" fontId="72" fillId="62" borderId="1" xfId="11" applyFont="1" applyFill="1" applyBorder="1"/>
    <xf numFmtId="167" fontId="72" fillId="0" borderId="1" xfId="9" applyFont="1" applyBorder="1"/>
    <xf numFmtId="172" fontId="72" fillId="2" borderId="1" xfId="9" applyNumberFormat="1" applyFont="1" applyFill="1" applyBorder="1" applyAlignment="1">
      <alignment horizontal="right"/>
    </xf>
    <xf numFmtId="167" fontId="72" fillId="2" borderId="1" xfId="9" applyFont="1" applyFill="1" applyBorder="1" applyAlignment="1">
      <alignment horizontal="center"/>
    </xf>
    <xf numFmtId="167" fontId="77" fillId="2" borderId="1" xfId="9" applyFont="1" applyFill="1" applyBorder="1"/>
    <xf numFmtId="166" fontId="72" fillId="2" borderId="1" xfId="19" applyFont="1" applyFill="1" applyBorder="1" applyAlignment="1">
      <alignment horizontal="center"/>
    </xf>
    <xf numFmtId="178" fontId="77" fillId="2" borderId="7" xfId="85" applyNumberFormat="1" applyFont="1" applyFill="1" applyBorder="1" applyAlignment="1">
      <alignment vertical="top" wrapText="1"/>
    </xf>
    <xf numFmtId="2" fontId="77" fillId="2" borderId="6" xfId="85" applyNumberFormat="1" applyFont="1" applyFill="1" applyBorder="1" applyAlignment="1">
      <alignment vertical="top" wrapText="1"/>
    </xf>
    <xf numFmtId="2" fontId="72" fillId="0" borderId="0" xfId="14" applyNumberFormat="1" applyFont="1" applyFill="1" applyBorder="1" applyAlignment="1" applyProtection="1">
      <protection hidden="1"/>
    </xf>
    <xf numFmtId="166" fontId="72" fillId="0" borderId="0" xfId="19" applyFont="1" applyFill="1" applyBorder="1" applyAlignment="1" applyProtection="1">
      <protection hidden="1"/>
    </xf>
    <xf numFmtId="2" fontId="72" fillId="0" borderId="5" xfId="14" applyNumberFormat="1" applyFont="1" applyFill="1" applyBorder="1" applyAlignment="1" applyProtection="1">
      <alignment vertical="center"/>
      <protection hidden="1"/>
    </xf>
    <xf numFmtId="9" fontId="77" fillId="0" borderId="1" xfId="0" applyNumberFormat="1" applyFont="1" applyBorder="1" applyAlignment="1">
      <alignment horizontal="center"/>
    </xf>
    <xf numFmtId="9" fontId="77" fillId="0" borderId="1" xfId="17" applyFont="1" applyBorder="1" applyAlignment="1">
      <alignment horizontal="center"/>
    </xf>
    <xf numFmtId="166" fontId="72" fillId="0" borderId="1" xfId="19" applyFont="1" applyBorder="1" applyAlignment="1">
      <alignment horizontal="center" vertical="top" wrapText="1"/>
    </xf>
    <xf numFmtId="2" fontId="86" fillId="61" borderId="4" xfId="85" applyNumberFormat="1" applyFont="1" applyFill="1" applyBorder="1" applyAlignment="1">
      <alignment horizontal="left" vertical="top" wrapText="1"/>
    </xf>
    <xf numFmtId="2" fontId="86" fillId="61" borderId="4" xfId="85" applyNumberFormat="1" applyFont="1" applyFill="1" applyBorder="1" applyAlignment="1">
      <alignment vertical="top" wrapText="1"/>
    </xf>
    <xf numFmtId="0" fontId="77" fillId="0" borderId="0" xfId="104" applyFont="1"/>
    <xf numFmtId="194" fontId="72" fillId="62" borderId="1" xfId="9" applyNumberFormat="1" applyFont="1" applyFill="1" applyBorder="1" applyAlignment="1">
      <alignment horizontal="center"/>
    </xf>
    <xf numFmtId="2" fontId="89" fillId="0" borderId="0" xfId="64" applyNumberFormat="1" applyFont="1" applyFill="1" applyBorder="1" applyAlignment="1"/>
    <xf numFmtId="0" fontId="75" fillId="0" borderId="41" xfId="0" applyFont="1" applyBorder="1"/>
    <xf numFmtId="2" fontId="107" fillId="61" borderId="42" xfId="14" applyNumberFormat="1" applyFont="1" applyFill="1" applyBorder="1" applyAlignment="1" applyProtection="1">
      <alignment horizontal="left" vertical="center" wrapText="1"/>
      <protection hidden="1"/>
    </xf>
    <xf numFmtId="2" fontId="72" fillId="0" borderId="42" xfId="14" applyNumberFormat="1" applyFont="1" applyFill="1" applyBorder="1" applyAlignment="1" applyProtection="1">
      <protection hidden="1"/>
    </xf>
    <xf numFmtId="1" fontId="77" fillId="0" borderId="43" xfId="14" applyNumberFormat="1" applyFont="1" applyFill="1" applyBorder="1" applyAlignment="1" applyProtection="1">
      <alignment horizontal="center"/>
      <protection hidden="1"/>
    </xf>
    <xf numFmtId="166" fontId="72" fillId="0" borderId="42" xfId="19" applyFont="1" applyFill="1" applyBorder="1" applyAlignment="1" applyProtection="1">
      <protection hidden="1"/>
    </xf>
    <xf numFmtId="166" fontId="72" fillId="0" borderId="43" xfId="19" applyFont="1" applyFill="1" applyBorder="1" applyAlignment="1" applyProtection="1">
      <protection hidden="1"/>
    </xf>
    <xf numFmtId="0" fontId="77" fillId="0" borderId="43" xfId="0" applyFont="1" applyBorder="1"/>
    <xf numFmtId="166" fontId="77" fillId="0" borderId="43" xfId="19" applyFont="1" applyBorder="1"/>
    <xf numFmtId="2" fontId="92" fillId="61" borderId="38" xfId="0" applyNumberFormat="1" applyFont="1" applyFill="1" applyBorder="1" applyAlignment="1">
      <alignment horizontal="center" vertical="top" wrapText="1"/>
    </xf>
    <xf numFmtId="0" fontId="72" fillId="2" borderId="1" xfId="0" applyFont="1" applyFill="1" applyBorder="1" applyAlignment="1">
      <alignment vertical="center"/>
    </xf>
    <xf numFmtId="2" fontId="86" fillId="61" borderId="1" xfId="90" applyNumberFormat="1" applyFont="1" applyFill="1" applyBorder="1" applyAlignment="1">
      <alignment vertical="top" wrapText="1"/>
    </xf>
    <xf numFmtId="172" fontId="86" fillId="61" borderId="1" xfId="9" applyNumberFormat="1" applyFont="1" applyFill="1" applyBorder="1" applyAlignment="1">
      <alignment vertical="top" wrapText="1"/>
    </xf>
    <xf numFmtId="167" fontId="86" fillId="61" borderId="1" xfId="9" applyFont="1" applyFill="1" applyBorder="1" applyAlignment="1">
      <alignment horizontal="center" vertical="top" wrapText="1"/>
    </xf>
    <xf numFmtId="10" fontId="72" fillId="62" borderId="1" xfId="17" applyNumberFormat="1" applyFont="1" applyFill="1" applyBorder="1" applyAlignment="1">
      <alignment horizontal="center"/>
    </xf>
    <xf numFmtId="0" fontId="92" fillId="2" borderId="0" xfId="0" applyFont="1" applyFill="1" applyAlignment="1">
      <alignment horizontal="center"/>
    </xf>
    <xf numFmtId="0" fontId="92" fillId="0" borderId="0" xfId="14" applyFont="1" applyFill="1" applyProtection="1">
      <protection hidden="1"/>
    </xf>
    <xf numFmtId="175" fontId="77" fillId="62" borderId="1" xfId="12" applyNumberFormat="1" applyFont="1" applyFill="1" applyBorder="1" applyAlignment="1" applyProtection="1">
      <alignment horizontal="center" vertical="center"/>
      <protection hidden="1"/>
    </xf>
    <xf numFmtId="0" fontId="99" fillId="2" borderId="6" xfId="14" applyFont="1" applyFill="1" applyBorder="1" applyAlignment="1" applyProtection="1">
      <protection hidden="1"/>
    </xf>
    <xf numFmtId="0" fontId="99" fillId="62" borderId="6" xfId="14" applyFont="1" applyFill="1" applyBorder="1" applyAlignment="1" applyProtection="1">
      <alignment horizontal="center"/>
      <protection hidden="1"/>
    </xf>
    <xf numFmtId="0" fontId="99" fillId="62" borderId="7" xfId="14" applyFont="1" applyFill="1" applyBorder="1" applyAlignment="1" applyProtection="1">
      <alignment horizontal="right"/>
      <protection hidden="1"/>
    </xf>
    <xf numFmtId="10" fontId="99" fillId="62" borderId="7" xfId="17" applyNumberFormat="1" applyFont="1" applyFill="1" applyBorder="1" applyAlignment="1" applyProtection="1">
      <alignment horizontal="right"/>
      <protection hidden="1"/>
    </xf>
    <xf numFmtId="0" fontId="92" fillId="0" borderId="0" xfId="14" applyFont="1" applyFill="1" applyBorder="1" applyAlignment="1" applyProtection="1">
      <alignment horizontal="right" vertical="center"/>
      <protection hidden="1"/>
    </xf>
    <xf numFmtId="2" fontId="92" fillId="0" borderId="0" xfId="14" applyNumberFormat="1" applyFont="1" applyFill="1" applyAlignment="1" applyProtection="1">
      <alignment vertical="center"/>
      <protection hidden="1"/>
    </xf>
    <xf numFmtId="0" fontId="92" fillId="0" borderId="0" xfId="14" applyFont="1" applyFill="1" applyBorder="1" applyAlignment="1" applyProtection="1">
      <alignment vertical="center"/>
      <protection hidden="1"/>
    </xf>
    <xf numFmtId="0" fontId="92" fillId="0" borderId="0" xfId="0" applyFont="1"/>
    <xf numFmtId="0" fontId="72" fillId="0" borderId="41" xfId="0" applyFont="1" applyFill="1" applyBorder="1" applyAlignment="1">
      <alignment horizontal="left"/>
    </xf>
    <xf numFmtId="175" fontId="72" fillId="62" borderId="43" xfId="12" applyNumberFormat="1" applyFont="1" applyFill="1" applyBorder="1" applyAlignment="1" applyProtection="1">
      <alignment vertical="center"/>
      <protection hidden="1"/>
    </xf>
    <xf numFmtId="0" fontId="72" fillId="0" borderId="42" xfId="0" applyFont="1" applyBorder="1"/>
    <xf numFmtId="169" fontId="102" fillId="2" borderId="1" xfId="4" applyFont="1" applyFill="1" applyBorder="1" applyAlignment="1" applyProtection="1">
      <alignment horizontal="right"/>
      <protection locked="0"/>
    </xf>
    <xf numFmtId="173" fontId="111" fillId="0" borderId="10" xfId="0" applyNumberFormat="1" applyFont="1" applyFill="1" applyBorder="1" applyAlignment="1">
      <alignment horizontal="center" vertical="center"/>
    </xf>
    <xf numFmtId="0" fontId="87" fillId="0" borderId="0" xfId="13" applyNumberFormat="1" applyFont="1" applyFill="1" applyBorder="1" applyAlignment="1"/>
    <xf numFmtId="1" fontId="77" fillId="0" borderId="43" xfId="14" applyNumberFormat="1" applyFont="1" applyBorder="1" applyAlignment="1" applyProtection="1">
      <alignment horizontal="center"/>
      <protection hidden="1"/>
    </xf>
    <xf numFmtId="1" fontId="77" fillId="0" borderId="43" xfId="14" applyNumberFormat="1" applyFont="1" applyBorder="1" applyAlignment="1" applyProtection="1">
      <alignment horizontal="center" vertical="center"/>
      <protection hidden="1"/>
    </xf>
    <xf numFmtId="2" fontId="76" fillId="2" borderId="1" xfId="14" applyNumberFormat="1" applyFont="1" applyFill="1" applyBorder="1" applyAlignment="1" applyProtection="1">
      <alignment horizontal="right" vertical="center"/>
      <protection hidden="1"/>
    </xf>
    <xf numFmtId="0" fontId="72" fillId="0" borderId="43" xfId="0" applyFont="1" applyFill="1" applyBorder="1"/>
    <xf numFmtId="2" fontId="72" fillId="0" borderId="43" xfId="90" applyNumberFormat="1" applyFont="1" applyFill="1" applyBorder="1"/>
    <xf numFmtId="0" fontId="72" fillId="64" borderId="1" xfId="0" applyFont="1" applyFill="1" applyBorder="1"/>
    <xf numFmtId="166" fontId="77" fillId="2" borderId="1" xfId="19" applyFont="1" applyFill="1" applyBorder="1"/>
    <xf numFmtId="166" fontId="72" fillId="2" borderId="1" xfId="19" applyFont="1" applyFill="1" applyBorder="1" applyAlignment="1">
      <alignment horizontal="right"/>
    </xf>
    <xf numFmtId="0" fontId="72" fillId="0" borderId="43" xfId="0" applyFont="1" applyBorder="1"/>
    <xf numFmtId="0" fontId="72" fillId="0" borderId="38" xfId="0" applyFont="1" applyFill="1" applyBorder="1"/>
    <xf numFmtId="0" fontId="72" fillId="0" borderId="1" xfId="0" applyFont="1" applyBorder="1" applyAlignment="1">
      <alignment wrapText="1"/>
    </xf>
    <xf numFmtId="0" fontId="72" fillId="0" borderId="1" xfId="0" applyFont="1" applyBorder="1" applyAlignment="1">
      <alignment horizontal="center" wrapText="1"/>
    </xf>
    <xf numFmtId="0" fontId="72" fillId="0" borderId="1" xfId="9" applyNumberFormat="1" applyFont="1" applyFill="1" applyBorder="1" applyAlignment="1"/>
    <xf numFmtId="0" fontId="72" fillId="0" borderId="0" xfId="14" applyFont="1" applyFill="1" applyAlignment="1" applyProtection="1">
      <alignment horizontal="center"/>
      <protection hidden="1"/>
    </xf>
    <xf numFmtId="0" fontId="77" fillId="0" borderId="0" xfId="14" applyFont="1" applyFill="1" applyBorder="1" applyAlignment="1" applyProtection="1">
      <alignment horizontal="center"/>
      <protection hidden="1"/>
    </xf>
    <xf numFmtId="2" fontId="72" fillId="0" borderId="0" xfId="14" applyNumberFormat="1" applyFont="1" applyFill="1" applyBorder="1" applyAlignment="1" applyProtection="1">
      <alignment horizontal="center"/>
      <protection hidden="1"/>
    </xf>
    <xf numFmtId="2" fontId="77" fillId="0" borderId="0" xfId="14" applyNumberFormat="1" applyFont="1" applyFill="1" applyBorder="1" applyAlignment="1" applyProtection="1">
      <alignment horizontal="center"/>
      <protection hidden="1"/>
    </xf>
    <xf numFmtId="172" fontId="86" fillId="61" borderId="4" xfId="9" applyNumberFormat="1" applyFont="1" applyFill="1" applyBorder="1" applyAlignment="1">
      <alignment horizontal="center" vertical="top" wrapText="1"/>
    </xf>
    <xf numFmtId="2" fontId="86" fillId="61" borderId="4" xfId="0" applyNumberFormat="1" applyFont="1" applyFill="1" applyBorder="1" applyAlignment="1">
      <alignment horizontal="center" vertical="top" wrapText="1"/>
    </xf>
    <xf numFmtId="0" fontId="72" fillId="0" borderId="0" xfId="0" applyFont="1" applyAlignment="1">
      <alignment horizontal="left"/>
    </xf>
    <xf numFmtId="0" fontId="72" fillId="0" borderId="21" xfId="0" applyFont="1" applyFill="1" applyBorder="1" applyAlignment="1"/>
    <xf numFmtId="0" fontId="72" fillId="0" borderId="1" xfId="0" applyFont="1" applyFill="1" applyBorder="1" applyAlignment="1">
      <alignment horizontal="center"/>
    </xf>
    <xf numFmtId="0" fontId="72" fillId="64" borderId="55" xfId="0" applyFont="1" applyFill="1" applyBorder="1" applyAlignment="1">
      <alignment wrapText="1"/>
    </xf>
    <xf numFmtId="0" fontId="72" fillId="64" borderId="1" xfId="0" applyFont="1" applyFill="1" applyBorder="1" applyAlignment="1">
      <alignment wrapText="1"/>
    </xf>
    <xf numFmtId="10" fontId="77" fillId="2" borderId="1" xfId="17" applyNumberFormat="1" applyFont="1" applyFill="1" applyBorder="1" applyAlignment="1">
      <alignment horizontal="center"/>
    </xf>
    <xf numFmtId="167" fontId="72" fillId="62" borderId="1" xfId="9" applyFont="1" applyFill="1" applyBorder="1" applyAlignment="1">
      <alignment horizontal="left"/>
    </xf>
    <xf numFmtId="167" fontId="72" fillId="0" borderId="7" xfId="9" applyFont="1" applyBorder="1"/>
    <xf numFmtId="0" fontId="72" fillId="0" borderId="1" xfId="0" applyFont="1" applyBorder="1" applyAlignment="1"/>
    <xf numFmtId="0" fontId="72" fillId="0" borderId="0" xfId="18" applyFont="1" applyAlignment="1"/>
    <xf numFmtId="49" fontId="72" fillId="0" borderId="43" xfId="18" applyNumberFormat="1" applyFont="1" applyBorder="1" applyAlignment="1">
      <alignment horizontal="center" vertical="center"/>
    </xf>
    <xf numFmtId="49" fontId="72" fillId="0" borderId="43" xfId="18" applyNumberFormat="1" applyFont="1" applyFill="1" applyBorder="1" applyAlignment="1">
      <alignment horizontal="center" vertical="center"/>
    </xf>
    <xf numFmtId="0" fontId="72" fillId="0" borderId="1" xfId="18" applyFont="1" applyFill="1" applyBorder="1"/>
    <xf numFmtId="0" fontId="77" fillId="0" borderId="1" xfId="18" applyFont="1" applyFill="1" applyBorder="1"/>
    <xf numFmtId="0" fontId="72" fillId="2" borderId="4" xfId="0" applyFont="1" applyFill="1" applyBorder="1"/>
    <xf numFmtId="0" fontId="72" fillId="2" borderId="1" xfId="0" applyFont="1" applyFill="1" applyBorder="1"/>
    <xf numFmtId="0" fontId="72" fillId="2" borderId="43" xfId="0" applyFont="1" applyFill="1" applyBorder="1"/>
    <xf numFmtId="1" fontId="72" fillId="2" borderId="1" xfId="0" applyNumberFormat="1" applyFont="1" applyFill="1" applyBorder="1" applyAlignment="1">
      <alignment horizontal="center"/>
    </xf>
    <xf numFmtId="0" fontId="72" fillId="2" borderId="1" xfId="9" applyNumberFormat="1" applyFont="1" applyFill="1" applyBorder="1" applyAlignment="1"/>
    <xf numFmtId="0" fontId="72" fillId="2" borderId="1" xfId="0" applyFont="1" applyFill="1" applyBorder="1" applyAlignment="1">
      <alignment horizontal="center"/>
    </xf>
    <xf numFmtId="2" fontId="72" fillId="2" borderId="1" xfId="0" applyNumberFormat="1" applyFont="1" applyFill="1" applyBorder="1"/>
    <xf numFmtId="0" fontId="72" fillId="2" borderId="7" xfId="0" applyFont="1" applyFill="1" applyBorder="1"/>
    <xf numFmtId="0" fontId="72" fillId="2" borderId="55" xfId="0" applyFont="1" applyFill="1" applyBorder="1" applyAlignment="1">
      <alignment wrapText="1"/>
    </xf>
    <xf numFmtId="0" fontId="72" fillId="2" borderId="1" xfId="0" applyFont="1" applyFill="1" applyBorder="1" applyAlignment="1">
      <alignment wrapText="1"/>
    </xf>
    <xf numFmtId="2" fontId="72" fillId="0" borderId="43" xfId="0" applyNumberFormat="1" applyFont="1" applyFill="1" applyBorder="1"/>
    <xf numFmtId="0" fontId="72" fillId="0" borderId="38" xfId="0" applyFont="1" applyBorder="1"/>
    <xf numFmtId="1" fontId="72" fillId="0" borderId="21" xfId="0" applyNumberFormat="1" applyFont="1" applyFill="1" applyBorder="1" applyAlignment="1">
      <alignment horizontal="center"/>
    </xf>
    <xf numFmtId="0" fontId="72" fillId="0" borderId="21" xfId="0" applyFont="1" applyBorder="1" applyAlignment="1">
      <alignment horizontal="center"/>
    </xf>
    <xf numFmtId="0" fontId="72" fillId="0" borderId="49" xfId="0" applyFont="1" applyFill="1" applyBorder="1" applyAlignment="1">
      <alignment horizontal="center"/>
    </xf>
    <xf numFmtId="0" fontId="72" fillId="0" borderId="21" xfId="0" applyFont="1" applyFill="1" applyBorder="1" applyAlignment="1">
      <alignment horizontal="center"/>
    </xf>
    <xf numFmtId="0" fontId="72" fillId="0" borderId="38" xfId="0" applyFont="1" applyBorder="1" applyAlignment="1">
      <alignment horizontal="center"/>
    </xf>
    <xf numFmtId="0" fontId="72" fillId="2" borderId="9" xfId="0" applyFont="1" applyFill="1" applyBorder="1" applyAlignment="1">
      <alignment vertical="center"/>
    </xf>
    <xf numFmtId="0" fontId="72" fillId="0" borderId="0" xfId="0" applyFont="1" applyBorder="1" applyAlignment="1">
      <alignment vertical="center"/>
    </xf>
    <xf numFmtId="0" fontId="72" fillId="0" borderId="21" xfId="0" applyFont="1" applyBorder="1"/>
    <xf numFmtId="0" fontId="72" fillId="0" borderId="49" xfId="0" applyFont="1" applyFill="1" applyBorder="1"/>
    <xf numFmtId="2" fontId="72" fillId="0" borderId="21" xfId="0" applyNumberFormat="1" applyFont="1" applyFill="1" applyBorder="1"/>
    <xf numFmtId="0" fontId="72" fillId="0" borderId="21" xfId="0" applyFont="1" applyFill="1" applyBorder="1"/>
    <xf numFmtId="0" fontId="72" fillId="0" borderId="4" xfId="0" applyFont="1" applyBorder="1"/>
    <xf numFmtId="0" fontId="72" fillId="0" borderId="21" xfId="0" applyNumberFormat="1" applyFont="1" applyFill="1" applyBorder="1" applyAlignment="1"/>
    <xf numFmtId="0" fontId="72" fillId="0" borderId="9" xfId="0" applyFont="1" applyBorder="1" applyAlignment="1">
      <alignment wrapText="1"/>
    </xf>
    <xf numFmtId="0" fontId="72" fillId="0" borderId="9" xfId="0" applyFont="1" applyBorder="1"/>
    <xf numFmtId="0" fontId="72" fillId="2" borderId="21" xfId="0" applyFont="1" applyFill="1" applyBorder="1"/>
    <xf numFmtId="0" fontId="72" fillId="0" borderId="9" xfId="9" applyNumberFormat="1" applyFont="1" applyFill="1" applyBorder="1" applyAlignment="1"/>
    <xf numFmtId="0" fontId="72" fillId="0" borderId="21" xfId="9" applyNumberFormat="1" applyFont="1" applyFill="1" applyBorder="1" applyAlignment="1"/>
    <xf numFmtId="0" fontId="72" fillId="2" borderId="48" xfId="0" applyFont="1" applyFill="1" applyBorder="1" applyAlignment="1">
      <alignment vertical="center"/>
    </xf>
    <xf numFmtId="0" fontId="72" fillId="2" borderId="0" xfId="0" applyFont="1" applyFill="1" applyBorder="1" applyAlignment="1">
      <alignment vertical="center"/>
    </xf>
    <xf numFmtId="0" fontId="72" fillId="0" borderId="48" xfId="0" applyFont="1" applyBorder="1" applyAlignment="1">
      <alignment vertical="center"/>
    </xf>
    <xf numFmtId="0" fontId="72" fillId="0" borderId="48" xfId="0" applyFont="1" applyBorder="1"/>
    <xf numFmtId="0" fontId="72" fillId="2" borderId="9" xfId="0" applyFont="1" applyFill="1" applyBorder="1"/>
    <xf numFmtId="2" fontId="72" fillId="0" borderId="48" xfId="0" applyNumberFormat="1" applyFont="1" applyFill="1" applyBorder="1"/>
    <xf numFmtId="0" fontId="72" fillId="2" borderId="50" xfId="0" applyFont="1" applyFill="1" applyBorder="1" applyAlignment="1">
      <alignment vertical="center"/>
    </xf>
    <xf numFmtId="0" fontId="72" fillId="0" borderId="0" xfId="0" applyFont="1" applyBorder="1" applyAlignment="1">
      <alignment wrapText="1"/>
    </xf>
    <xf numFmtId="0" fontId="72" fillId="0" borderId="48" xfId="0" applyFont="1" applyFill="1" applyBorder="1" applyAlignment="1"/>
    <xf numFmtId="0" fontId="72" fillId="64" borderId="21" xfId="0" applyFont="1" applyFill="1" applyBorder="1"/>
    <xf numFmtId="0" fontId="72" fillId="0" borderId="1" xfId="0" applyFont="1" applyFill="1" applyBorder="1" applyAlignment="1">
      <alignment wrapText="1"/>
    </xf>
    <xf numFmtId="0" fontId="72" fillId="0" borderId="55" xfId="0" applyFont="1" applyBorder="1" applyAlignment="1">
      <alignment wrapText="1"/>
    </xf>
    <xf numFmtId="0" fontId="72" fillId="2" borderId="7" xfId="0" applyFont="1" applyFill="1" applyBorder="1" applyAlignment="1">
      <alignment wrapText="1"/>
    </xf>
    <xf numFmtId="2" fontId="92" fillId="0" borderId="0" xfId="0" applyNumberFormat="1" applyFont="1"/>
    <xf numFmtId="0" fontId="74" fillId="62" borderId="1" xfId="14" applyFont="1" applyFill="1" applyBorder="1" applyProtection="1">
      <protection hidden="1"/>
    </xf>
    <xf numFmtId="0" fontId="74" fillId="0" borderId="0" xfId="14" applyFont="1" applyAlignment="1" applyProtection="1">
      <alignment horizontal="center"/>
      <protection hidden="1"/>
    </xf>
    <xf numFmtId="0" fontId="73" fillId="0" borderId="0" xfId="14" applyFont="1" applyProtection="1">
      <protection hidden="1"/>
    </xf>
    <xf numFmtId="49" fontId="87" fillId="0" borderId="0" xfId="64" applyNumberFormat="1" applyFont="1"/>
    <xf numFmtId="2" fontId="88" fillId="0" borderId="0" xfId="64" applyNumberFormat="1" applyFont="1"/>
    <xf numFmtId="2" fontId="88" fillId="0" borderId="0" xfId="13" applyNumberFormat="1" applyFont="1"/>
    <xf numFmtId="172" fontId="86" fillId="61" borderId="1" xfId="9" applyNumberFormat="1" applyFont="1" applyFill="1" applyBorder="1" applyAlignment="1">
      <alignment horizontal="center" vertical="top" wrapText="1"/>
    </xf>
    <xf numFmtId="172" fontId="72" fillId="62" borderId="1" xfId="9" applyNumberFormat="1" applyFont="1" applyFill="1" applyBorder="1"/>
    <xf numFmtId="166" fontId="72" fillId="62" borderId="1" xfId="19" applyFont="1" applyFill="1" applyBorder="1"/>
    <xf numFmtId="172" fontId="86" fillId="61" borderId="1" xfId="9" applyNumberFormat="1" applyFont="1" applyFill="1" applyBorder="1" applyAlignment="1">
      <alignment horizontal="left" vertical="top" wrapText="1"/>
    </xf>
    <xf numFmtId="167" fontId="72" fillId="0" borderId="1" xfId="9" applyFont="1" applyFill="1" applyBorder="1" applyAlignment="1">
      <alignment horizontal="left" vertical="top"/>
    </xf>
    <xf numFmtId="167" fontId="72" fillId="0" borderId="1" xfId="9" applyFont="1" applyFill="1" applyBorder="1" applyAlignment="1">
      <alignment horizontal="center"/>
    </xf>
    <xf numFmtId="0" fontId="72" fillId="0" borderId="1" xfId="9" applyNumberFormat="1" applyFont="1" applyFill="1" applyBorder="1" applyAlignment="1">
      <alignment horizontal="center" vertical="top"/>
    </xf>
    <xf numFmtId="166" fontId="72" fillId="0" borderId="1" xfId="19" applyFont="1" applyFill="1" applyBorder="1" applyAlignment="1">
      <alignment horizontal="center"/>
    </xf>
    <xf numFmtId="172" fontId="72" fillId="0" borderId="1" xfId="9" applyNumberFormat="1" applyFont="1" applyBorder="1"/>
    <xf numFmtId="167" fontId="77" fillId="0" borderId="1" xfId="0" applyNumberFormat="1" applyFont="1" applyBorder="1"/>
    <xf numFmtId="0" fontId="115" fillId="0" borderId="0" xfId="0" applyFont="1"/>
    <xf numFmtId="2" fontId="72" fillId="2" borderId="1" xfId="90" applyNumberFormat="1" applyFont="1" applyFill="1" applyBorder="1" applyAlignment="1">
      <alignment vertical="top" wrapText="1"/>
    </xf>
    <xf numFmtId="2" fontId="77" fillId="0" borderId="0" xfId="0" applyNumberFormat="1" applyFont="1" applyAlignment="1">
      <alignment horizontal="left"/>
    </xf>
    <xf numFmtId="2" fontId="72" fillId="0" borderId="0" xfId="0" applyNumberFormat="1" applyFont="1" applyAlignment="1">
      <alignment horizontal="left"/>
    </xf>
    <xf numFmtId="0" fontId="86" fillId="61" borderId="1" xfId="0" applyFont="1" applyFill="1" applyBorder="1" applyAlignment="1">
      <alignment vertical="top"/>
    </xf>
    <xf numFmtId="172" fontId="77" fillId="0" borderId="1" xfId="0" applyNumberFormat="1" applyFont="1" applyBorder="1"/>
    <xf numFmtId="0" fontId="92" fillId="61" borderId="4" xfId="0" applyFont="1" applyFill="1" applyBorder="1" applyAlignment="1">
      <alignment horizontal="left" vertical="top" wrapText="1"/>
    </xf>
    <xf numFmtId="0" fontId="75" fillId="0" borderId="1" xfId="0" applyFont="1" applyBorder="1"/>
    <xf numFmtId="167" fontId="72" fillId="0" borderId="43" xfId="9" applyFont="1" applyBorder="1"/>
    <xf numFmtId="167" fontId="72" fillId="0" borderId="1" xfId="9" applyFont="1" applyFill="1" applyBorder="1" applyAlignment="1">
      <alignment horizontal="right"/>
    </xf>
    <xf numFmtId="167" fontId="72" fillId="2" borderId="1" xfId="9" applyFont="1" applyFill="1" applyBorder="1"/>
    <xf numFmtId="167" fontId="72" fillId="0" borderId="1" xfId="9" applyFont="1" applyBorder="1" applyAlignment="1">
      <alignment wrapText="1"/>
    </xf>
    <xf numFmtId="167" fontId="72" fillId="0" borderId="1" xfId="9" applyFont="1" applyFill="1" applyBorder="1"/>
    <xf numFmtId="167" fontId="72" fillId="0" borderId="21" xfId="9" applyFont="1" applyBorder="1"/>
    <xf numFmtId="167" fontId="72" fillId="0" borderId="21" xfId="9" applyFont="1" applyFill="1" applyBorder="1" applyAlignment="1">
      <alignment horizontal="right"/>
    </xf>
    <xf numFmtId="167" fontId="72" fillId="0" borderId="21" xfId="9" applyFont="1" applyBorder="1" applyAlignment="1">
      <alignment wrapText="1"/>
    </xf>
    <xf numFmtId="167" fontId="72" fillId="0" borderId="49" xfId="9" applyFont="1" applyBorder="1" applyAlignment="1">
      <alignment wrapText="1"/>
    </xf>
    <xf numFmtId="167" fontId="72" fillId="0" borderId="56" xfId="9" applyFont="1" applyBorder="1" applyAlignment="1">
      <alignment wrapText="1"/>
    </xf>
    <xf numFmtId="167" fontId="72" fillId="0" borderId="49" xfId="9" applyFont="1" applyBorder="1"/>
    <xf numFmtId="167" fontId="72" fillId="64" borderId="1" xfId="9" applyFont="1" applyFill="1" applyBorder="1"/>
    <xf numFmtId="167" fontId="72" fillId="2" borderId="1" xfId="9" applyFont="1" applyFill="1" applyBorder="1" applyAlignment="1">
      <alignment wrapText="1"/>
    </xf>
    <xf numFmtId="167" fontId="72" fillId="0" borderId="0" xfId="9" applyFont="1" applyBorder="1"/>
    <xf numFmtId="172" fontId="72" fillId="2" borderId="1" xfId="9" applyNumberFormat="1" applyFont="1" applyFill="1" applyBorder="1" applyAlignment="1">
      <alignment horizontal="left" vertical="top" wrapText="1"/>
    </xf>
    <xf numFmtId="167" fontId="72" fillId="2" borderId="1" xfId="9" applyFont="1" applyFill="1" applyBorder="1" applyAlignment="1">
      <alignment horizontal="left" vertical="top" wrapText="1"/>
    </xf>
    <xf numFmtId="49" fontId="72" fillId="2" borderId="1" xfId="9" applyNumberFormat="1" applyFont="1" applyFill="1" applyBorder="1" applyAlignment="1">
      <alignment horizontal="center" vertical="top" wrapText="1"/>
    </xf>
    <xf numFmtId="166" fontId="72" fillId="2" borderId="1" xfId="19" applyFont="1" applyFill="1" applyBorder="1" applyAlignment="1">
      <alignment horizontal="left" vertical="top" wrapText="1"/>
    </xf>
    <xf numFmtId="166" fontId="72" fillId="0" borderId="0" xfId="19" applyFont="1"/>
    <xf numFmtId="166" fontId="86" fillId="61" borderId="1" xfId="19" applyFont="1" applyFill="1" applyBorder="1" applyAlignment="1">
      <alignment horizontal="left" vertical="top" wrapText="1"/>
    </xf>
    <xf numFmtId="0" fontId="72" fillId="2" borderId="1" xfId="9" applyNumberFormat="1" applyFont="1" applyFill="1" applyBorder="1" applyAlignment="1">
      <alignment horizontal="center" vertical="top" wrapText="1"/>
    </xf>
    <xf numFmtId="167" fontId="86" fillId="61" borderId="1" xfId="9" applyFont="1" applyFill="1" applyBorder="1" applyAlignment="1">
      <alignment horizontal="left" vertical="top" wrapText="1"/>
    </xf>
    <xf numFmtId="0" fontId="72" fillId="0" borderId="57" xfId="0" applyNumberFormat="1" applyFont="1" applyFill="1" applyBorder="1" applyAlignment="1" applyProtection="1"/>
    <xf numFmtId="1" fontId="72" fillId="0" borderId="57" xfId="0" applyNumberFormat="1" applyFont="1" applyFill="1" applyBorder="1" applyAlignment="1" applyProtection="1">
      <alignment horizontal="center"/>
    </xf>
    <xf numFmtId="167" fontId="72" fillId="0" borderId="21" xfId="0" applyNumberFormat="1" applyFont="1" applyFill="1" applyBorder="1" applyAlignment="1" applyProtection="1">
      <alignment wrapText="1"/>
    </xf>
    <xf numFmtId="0" fontId="72" fillId="65" borderId="57" xfId="0" applyNumberFormat="1" applyFont="1" applyFill="1" applyBorder="1" applyAlignment="1" applyProtection="1">
      <alignment vertical="center"/>
    </xf>
    <xf numFmtId="0" fontId="72" fillId="65" borderId="57" xfId="0" applyNumberFormat="1" applyFont="1" applyFill="1" applyBorder="1" applyAlignment="1" applyProtection="1"/>
    <xf numFmtId="1" fontId="72" fillId="65" borderId="57" xfId="0" applyNumberFormat="1" applyFont="1" applyFill="1" applyBorder="1" applyAlignment="1" applyProtection="1">
      <alignment horizontal="center"/>
    </xf>
    <xf numFmtId="2" fontId="72" fillId="0" borderId="57" xfId="0" applyNumberFormat="1" applyFont="1" applyFill="1" applyBorder="1" applyAlignment="1" applyProtection="1"/>
    <xf numFmtId="0" fontId="72" fillId="0" borderId="57" xfId="0" applyNumberFormat="1" applyFont="1" applyFill="1" applyBorder="1" applyAlignment="1" applyProtection="1">
      <alignment vertical="top" wrapText="1"/>
    </xf>
    <xf numFmtId="0" fontId="72" fillId="0" borderId="44" xfId="104" applyFont="1" applyBorder="1" applyAlignment="1">
      <alignment horizontal="center"/>
    </xf>
    <xf numFmtId="2" fontId="77" fillId="2" borderId="41" xfId="85" applyNumberFormat="1" applyFont="1" applyFill="1" applyBorder="1" applyAlignment="1">
      <alignment vertical="top" wrapText="1"/>
    </xf>
    <xf numFmtId="0" fontId="77" fillId="0" borderId="42" xfId="104" applyFont="1" applyBorder="1"/>
    <xf numFmtId="0" fontId="72" fillId="0" borderId="1" xfId="104" applyFont="1" applyBorder="1" applyAlignment="1">
      <alignment vertical="center" wrapText="1"/>
    </xf>
    <xf numFmtId="166" fontId="72" fillId="0" borderId="43" xfId="19" applyFont="1" applyBorder="1" applyAlignment="1">
      <alignment horizontal="center" vertical="top" wrapText="1"/>
    </xf>
    <xf numFmtId="44" fontId="72" fillId="0" borderId="43" xfId="67" applyFont="1" applyBorder="1" applyAlignment="1">
      <alignment vertical="top" wrapText="1"/>
    </xf>
    <xf numFmtId="49" fontId="72" fillId="0" borderId="43" xfId="104" applyNumberFormat="1" applyFont="1" applyBorder="1" applyAlignment="1">
      <alignment horizontal="center" vertical="top" wrapText="1"/>
    </xf>
    <xf numFmtId="172" fontId="72" fillId="2" borderId="57" xfId="0" applyNumberFormat="1" applyFont="1" applyFill="1" applyBorder="1" applyAlignment="1" applyProtection="1">
      <alignment horizontal="center" vertical="top" wrapText="1"/>
    </xf>
    <xf numFmtId="172" fontId="72" fillId="2" borderId="57" xfId="0" applyNumberFormat="1" applyFont="1" applyFill="1" applyBorder="1" applyAlignment="1" applyProtection="1">
      <alignment horizontal="center" vertical="center"/>
      <protection hidden="1"/>
    </xf>
    <xf numFmtId="172" fontId="72" fillId="2" borderId="58" xfId="0" applyNumberFormat="1" applyFont="1" applyFill="1" applyBorder="1" applyAlignment="1" applyProtection="1">
      <alignment horizontal="center" vertical="top" wrapText="1"/>
      <protection hidden="1"/>
    </xf>
    <xf numFmtId="172" fontId="72" fillId="2" borderId="57" xfId="0" applyNumberFormat="1" applyFont="1" applyFill="1" applyBorder="1" applyAlignment="1" applyProtection="1">
      <alignment horizontal="center"/>
    </xf>
    <xf numFmtId="172" fontId="72" fillId="2" borderId="0" xfId="0" applyNumberFormat="1" applyFont="1" applyFill="1" applyBorder="1" applyAlignment="1" applyProtection="1">
      <alignment horizontal="center"/>
    </xf>
    <xf numFmtId="172" fontId="72" fillId="2" borderId="57" xfId="0" applyNumberFormat="1" applyFont="1" applyFill="1" applyBorder="1" applyAlignment="1" applyProtection="1">
      <alignment horizontal="center" vertical="top" wrapText="1"/>
      <protection hidden="1"/>
    </xf>
    <xf numFmtId="172" fontId="72" fillId="2" borderId="57" xfId="0" applyNumberFormat="1" applyFont="1" applyFill="1" applyBorder="1" applyAlignment="1" applyProtection="1">
      <alignment vertical="center"/>
      <protection hidden="1"/>
    </xf>
    <xf numFmtId="172" fontId="72" fillId="2" borderId="58" xfId="0" applyNumberFormat="1" applyFont="1" applyFill="1" applyBorder="1" applyAlignment="1" applyProtection="1">
      <alignment vertical="top" wrapText="1"/>
      <protection hidden="1"/>
    </xf>
    <xf numFmtId="0" fontId="72" fillId="0" borderId="0" xfId="0" applyNumberFormat="1" applyFont="1" applyFill="1" applyBorder="1" applyAlignment="1" applyProtection="1">
      <alignment vertical="top" wrapText="1"/>
    </xf>
    <xf numFmtId="172" fontId="72" fillId="2" borderId="57" xfId="0" applyNumberFormat="1" applyFont="1" applyFill="1" applyBorder="1" applyAlignment="1" applyProtection="1">
      <alignment horizontal="center" vertical="center" wrapText="1"/>
    </xf>
    <xf numFmtId="166" fontId="72" fillId="0" borderId="1" xfId="19" applyFont="1" applyBorder="1" applyAlignment="1">
      <alignment horizontal="center" vertical="center" wrapText="1"/>
    </xf>
    <xf numFmtId="44" fontId="72" fillId="0" borderId="1" xfId="67" applyFont="1" applyBorder="1" applyAlignment="1">
      <alignment vertical="center" wrapText="1"/>
    </xf>
    <xf numFmtId="49" fontId="72" fillId="0" borderId="1" xfId="104" applyNumberFormat="1" applyFont="1" applyBorder="1" applyAlignment="1">
      <alignment horizontal="center" vertical="center" wrapText="1"/>
    </xf>
    <xf numFmtId="0" fontId="72" fillId="0" borderId="0" xfId="104" applyFont="1" applyAlignment="1">
      <alignment vertical="center"/>
    </xf>
    <xf numFmtId="49" fontId="72" fillId="2" borderId="43" xfId="18" applyNumberFormat="1" applyFont="1" applyFill="1" applyBorder="1" applyAlignment="1">
      <alignment horizontal="center" vertical="center"/>
    </xf>
    <xf numFmtId="0" fontId="72" fillId="2" borderId="1" xfId="0" applyFont="1" applyFill="1" applyBorder="1" applyAlignment="1">
      <alignment horizontal="center" vertical="center"/>
    </xf>
    <xf numFmtId="2" fontId="72" fillId="0" borderId="0" xfId="63" applyNumberFormat="1" applyFont="1" applyFill="1" applyBorder="1" applyAlignment="1" applyProtection="1">
      <alignment horizontal="left"/>
      <protection hidden="1"/>
    </xf>
    <xf numFmtId="9" fontId="72" fillId="2" borderId="0" xfId="66" applyFont="1" applyFill="1" applyBorder="1" applyAlignment="1">
      <alignment horizontal="center"/>
    </xf>
    <xf numFmtId="10" fontId="72" fillId="2" borderId="1" xfId="66" applyNumberFormat="1" applyFont="1" applyFill="1" applyBorder="1" applyAlignment="1">
      <alignment horizontal="center"/>
    </xf>
    <xf numFmtId="177" fontId="86" fillId="61" borderId="57" xfId="90" applyNumberFormat="1" applyFont="1" applyFill="1" applyBorder="1" applyAlignment="1" applyProtection="1">
      <alignment horizontal="center" vertical="center" wrapText="1"/>
      <protection hidden="1"/>
    </xf>
    <xf numFmtId="0" fontId="75" fillId="0" borderId="0" xfId="90" applyFont="1"/>
    <xf numFmtId="166" fontId="72" fillId="2" borderId="57" xfId="19" applyFont="1" applyFill="1" applyBorder="1" applyAlignment="1">
      <alignment horizontal="center"/>
    </xf>
    <xf numFmtId="0" fontId="72" fillId="0" borderId="59" xfId="0" applyFont="1" applyBorder="1" applyAlignment="1"/>
    <xf numFmtId="1" fontId="76" fillId="0" borderId="0" xfId="62" applyNumberFormat="1" applyFont="1" applyBorder="1" applyAlignment="1">
      <alignment horizontal="center"/>
    </xf>
    <xf numFmtId="1" fontId="81" fillId="0" borderId="0" xfId="62" applyNumberFormat="1" applyFont="1" applyFill="1" applyBorder="1" applyAlignment="1">
      <alignment horizontal="center"/>
    </xf>
    <xf numFmtId="0" fontId="72" fillId="0" borderId="0" xfId="0" applyNumberFormat="1" applyFont="1" applyFill="1" applyBorder="1" applyAlignment="1" applyProtection="1"/>
    <xf numFmtId="0" fontId="72" fillId="0" borderId="60" xfId="0" applyNumberFormat="1" applyFont="1" applyFill="1" applyBorder="1" applyAlignment="1" applyProtection="1"/>
    <xf numFmtId="1" fontId="72" fillId="0" borderId="60" xfId="0" applyNumberFormat="1" applyFont="1" applyFill="1" applyBorder="1" applyAlignment="1" applyProtection="1">
      <alignment horizontal="center"/>
    </xf>
    <xf numFmtId="0" fontId="72" fillId="0" borderId="60" xfId="0" applyNumberFormat="1" applyFont="1" applyFill="1" applyBorder="1" applyAlignment="1" applyProtection="1">
      <alignment vertical="center"/>
    </xf>
    <xf numFmtId="0" fontId="72" fillId="0" borderId="21" xfId="0" applyNumberFormat="1" applyFont="1" applyFill="1" applyBorder="1" applyAlignment="1" applyProtection="1">
      <alignment wrapText="1"/>
    </xf>
    <xf numFmtId="0" fontId="72" fillId="65" borderId="60" xfId="0" applyNumberFormat="1" applyFont="1" applyFill="1" applyBorder="1" applyAlignment="1" applyProtection="1">
      <alignment vertical="center"/>
    </xf>
    <xf numFmtId="0" fontId="72" fillId="65" borderId="60" xfId="0" applyNumberFormat="1" applyFont="1" applyFill="1" applyBorder="1" applyAlignment="1" applyProtection="1"/>
    <xf numFmtId="1" fontId="72" fillId="65" borderId="60" xfId="0" applyNumberFormat="1" applyFont="1" applyFill="1" applyBorder="1" applyAlignment="1" applyProtection="1">
      <alignment horizontal="center"/>
    </xf>
    <xf numFmtId="0" fontId="72" fillId="65" borderId="21" xfId="0" applyNumberFormat="1" applyFont="1" applyFill="1" applyBorder="1" applyAlignment="1" applyProtection="1">
      <alignment wrapText="1"/>
    </xf>
    <xf numFmtId="2" fontId="72" fillId="0" borderId="21" xfId="0" applyNumberFormat="1" applyFont="1" applyFill="1" applyBorder="1" applyAlignment="1" applyProtection="1">
      <alignment wrapText="1"/>
    </xf>
    <xf numFmtId="2" fontId="72" fillId="65" borderId="21" xfId="0" applyNumberFormat="1" applyFont="1" applyFill="1" applyBorder="1" applyAlignment="1" applyProtection="1">
      <alignment wrapText="1"/>
    </xf>
    <xf numFmtId="167" fontId="72" fillId="0" borderId="1" xfId="9" applyFont="1" applyBorder="1" applyAlignment="1">
      <alignment horizontal="center"/>
    </xf>
    <xf numFmtId="0" fontId="72" fillId="2" borderId="60" xfId="0" applyNumberFormat="1" applyFont="1" applyFill="1" applyBorder="1" applyAlignment="1" applyProtection="1">
      <alignment horizontal="center"/>
    </xf>
    <xf numFmtId="0" fontId="72" fillId="2" borderId="60" xfId="0" applyNumberFormat="1" applyFont="1" applyFill="1" applyBorder="1" applyAlignment="1" applyProtection="1">
      <alignment vertical="center"/>
    </xf>
    <xf numFmtId="0" fontId="72" fillId="2" borderId="60" xfId="0" applyNumberFormat="1" applyFont="1" applyFill="1" applyBorder="1" applyAlignment="1" applyProtection="1"/>
    <xf numFmtId="0" fontId="75" fillId="2" borderId="1" xfId="0" applyFont="1" applyFill="1" applyBorder="1"/>
    <xf numFmtId="2" fontId="72" fillId="2" borderId="60" xfId="0" applyNumberFormat="1" applyFont="1" applyFill="1" applyBorder="1" applyAlignment="1" applyProtection="1"/>
    <xf numFmtId="0" fontId="72" fillId="2" borderId="21" xfId="0" applyNumberFormat="1" applyFont="1" applyFill="1" applyBorder="1" applyAlignment="1" applyProtection="1">
      <alignment wrapText="1"/>
    </xf>
    <xf numFmtId="2" fontId="72" fillId="2" borderId="21" xfId="0" applyNumberFormat="1" applyFont="1" applyFill="1" applyBorder="1" applyAlignment="1" applyProtection="1">
      <alignment wrapText="1"/>
    </xf>
    <xf numFmtId="0" fontId="86" fillId="61" borderId="1" xfId="0" applyFont="1" applyFill="1" applyBorder="1" applyAlignment="1">
      <alignment horizontal="center" vertical="center" wrapText="1"/>
    </xf>
    <xf numFmtId="0" fontId="86" fillId="61" borderId="1" xfId="0" applyFont="1" applyFill="1" applyBorder="1" applyAlignment="1">
      <alignment horizontal="center" vertical="center"/>
    </xf>
    <xf numFmtId="1" fontId="72" fillId="2" borderId="60" xfId="0" applyNumberFormat="1" applyFont="1" applyFill="1" applyBorder="1" applyAlignment="1" applyProtection="1">
      <alignment horizontal="center"/>
    </xf>
    <xf numFmtId="0" fontId="72" fillId="2" borderId="0" xfId="0" applyNumberFormat="1" applyFont="1" applyFill="1" applyBorder="1" applyAlignment="1" applyProtection="1"/>
    <xf numFmtId="0" fontId="72" fillId="2" borderId="59" xfId="0" applyFont="1" applyFill="1" applyBorder="1" applyAlignment="1"/>
    <xf numFmtId="167" fontId="72" fillId="2" borderId="21" xfId="9" applyFont="1" applyFill="1" applyBorder="1" applyAlignment="1">
      <alignment wrapText="1"/>
    </xf>
    <xf numFmtId="167" fontId="72" fillId="66" borderId="1" xfId="9" applyFont="1" applyFill="1" applyBorder="1" applyAlignment="1">
      <alignment horizontal="center"/>
    </xf>
    <xf numFmtId="10" fontId="72" fillId="2" borderId="1" xfId="17" applyNumberFormat="1" applyFont="1" applyFill="1" applyBorder="1" applyAlignment="1">
      <alignment horizontal="center"/>
    </xf>
    <xf numFmtId="1" fontId="4" fillId="0" borderId="1" xfId="0" applyNumberFormat="1" applyFont="1" applyFill="1" applyBorder="1" applyAlignment="1">
      <alignment horizontal="center"/>
    </xf>
    <xf numFmtId="167" fontId="116" fillId="0" borderId="1" xfId="9" applyFont="1" applyBorder="1"/>
    <xf numFmtId="0" fontId="116" fillId="0" borderId="1" xfId="52900" applyFont="1" applyBorder="1"/>
    <xf numFmtId="1" fontId="4" fillId="2" borderId="1" xfId="0" applyNumberFormat="1" applyFont="1" applyFill="1" applyBorder="1" applyAlignment="1">
      <alignment horizontal="center"/>
    </xf>
    <xf numFmtId="1" fontId="4" fillId="64" borderId="1" xfId="0" applyNumberFormat="1" applyFont="1" applyFill="1" applyBorder="1" applyAlignment="1">
      <alignment horizontal="center"/>
    </xf>
    <xf numFmtId="0" fontId="4" fillId="0" borderId="1" xfId="60" applyFont="1" applyBorder="1" applyAlignment="1">
      <alignment wrapText="1"/>
    </xf>
    <xf numFmtId="167" fontId="4" fillId="0" borderId="1" xfId="9" applyFont="1" applyBorder="1" applyAlignment="1">
      <alignment wrapText="1"/>
    </xf>
    <xf numFmtId="1" fontId="4" fillId="64" borderId="59" xfId="0" applyNumberFormat="1" applyFont="1" applyFill="1" applyBorder="1" applyAlignment="1">
      <alignment horizontal="center"/>
    </xf>
    <xf numFmtId="1" fontId="4" fillId="2" borderId="59" xfId="0" applyNumberFormat="1" applyFont="1" applyFill="1" applyBorder="1" applyAlignment="1">
      <alignment horizontal="center"/>
    </xf>
    <xf numFmtId="0" fontId="4" fillId="0" borderId="0" xfId="0" applyFont="1"/>
    <xf numFmtId="1" fontId="86" fillId="61" borderId="60" xfId="0" applyNumberFormat="1" applyFont="1" applyFill="1" applyBorder="1" applyAlignment="1">
      <alignment horizontal="center" vertical="center" wrapText="1"/>
    </xf>
    <xf numFmtId="49" fontId="72" fillId="0" borderId="60" xfId="0" applyNumberFormat="1" applyFont="1" applyFill="1" applyBorder="1" applyAlignment="1">
      <alignment horizontal="center"/>
    </xf>
    <xf numFmtId="0" fontId="77" fillId="0" borderId="60" xfId="0" applyFont="1" applyFill="1" applyBorder="1" applyAlignment="1"/>
    <xf numFmtId="1" fontId="86" fillId="61" borderId="60" xfId="0" applyNumberFormat="1" applyFont="1" applyFill="1" applyBorder="1" applyAlignment="1">
      <alignment horizontal="center"/>
    </xf>
    <xf numFmtId="1" fontId="81" fillId="0" borderId="60" xfId="62" applyNumberFormat="1" applyFont="1" applyFill="1" applyBorder="1" applyAlignment="1">
      <alignment horizontal="center"/>
    </xf>
    <xf numFmtId="172" fontId="77" fillId="2" borderId="1" xfId="9" applyNumberFormat="1" applyFont="1" applyFill="1" applyBorder="1" applyAlignment="1">
      <alignment horizontal="center"/>
    </xf>
    <xf numFmtId="1" fontId="3" fillId="0" borderId="1" xfId="0" applyNumberFormat="1" applyFont="1" applyFill="1" applyBorder="1" applyAlignment="1">
      <alignment horizontal="center"/>
    </xf>
    <xf numFmtId="172" fontId="77" fillId="62" borderId="1" xfId="9" applyNumberFormat="1" applyFont="1" applyFill="1" applyBorder="1" applyAlignment="1">
      <alignment horizontal="center"/>
    </xf>
    <xf numFmtId="1" fontId="72" fillId="2" borderId="1" xfId="62" applyNumberFormat="1" applyFont="1" applyFill="1" applyBorder="1" applyAlignment="1">
      <alignment horizontal="center"/>
    </xf>
    <xf numFmtId="1" fontId="72" fillId="2" borderId="60" xfId="62" applyNumberFormat="1" applyFont="1" applyFill="1" applyBorder="1" applyAlignment="1">
      <alignment horizontal="center"/>
    </xf>
    <xf numFmtId="0" fontId="72" fillId="2" borderId="60" xfId="0" applyFont="1" applyFill="1" applyBorder="1"/>
    <xf numFmtId="2" fontId="72" fillId="0" borderId="0" xfId="0" applyNumberFormat="1" applyFont="1"/>
    <xf numFmtId="49" fontId="72" fillId="0" borderId="1" xfId="0" applyNumberFormat="1" applyFont="1" applyBorder="1" applyAlignment="1">
      <alignment horizontal="center" vertical="center"/>
    </xf>
    <xf numFmtId="49" fontId="77" fillId="0" borderId="0" xfId="0" applyNumberFormat="1" applyFont="1" applyAlignment="1">
      <alignment horizontal="center" vertical="center"/>
    </xf>
    <xf numFmtId="49" fontId="83" fillId="0" borderId="0" xfId="13" applyNumberFormat="1" applyFont="1" applyFill="1" applyBorder="1" applyAlignment="1">
      <alignment horizontal="center" vertical="center"/>
    </xf>
    <xf numFmtId="49" fontId="72" fillId="0" borderId="0" xfId="0" applyNumberFormat="1" applyFont="1" applyAlignment="1">
      <alignment horizontal="center" vertical="center"/>
    </xf>
    <xf numFmtId="49" fontId="87" fillId="0" borderId="0" xfId="0" applyNumberFormat="1" applyFont="1" applyAlignment="1">
      <alignment horizontal="center" vertical="center"/>
    </xf>
    <xf numFmtId="49" fontId="86" fillId="61" borderId="4" xfId="0" applyNumberFormat="1" applyFont="1" applyFill="1" applyBorder="1" applyAlignment="1">
      <alignment horizontal="center" vertical="top" wrapText="1"/>
    </xf>
    <xf numFmtId="49" fontId="72" fillId="0" borderId="9" xfId="0" applyNumberFormat="1" applyFont="1" applyBorder="1" applyAlignment="1">
      <alignment horizontal="center" vertical="center"/>
    </xf>
    <xf numFmtId="49" fontId="72" fillId="2" borderId="1" xfId="0" applyNumberFormat="1" applyFont="1" applyFill="1" applyBorder="1" applyAlignment="1">
      <alignment horizontal="center" vertical="center"/>
    </xf>
    <xf numFmtId="49" fontId="72" fillId="0" borderId="1" xfId="0" applyNumberFormat="1" applyFont="1" applyFill="1" applyBorder="1" applyAlignment="1">
      <alignment horizontal="center" vertical="center"/>
    </xf>
    <xf numFmtId="49" fontId="72" fillId="0" borderId="43" xfId="0" applyNumberFormat="1" applyFont="1" applyBorder="1" applyAlignment="1">
      <alignment horizontal="center" vertical="center"/>
    </xf>
    <xf numFmtId="49" fontId="72" fillId="0" borderId="0" xfId="0" applyNumberFormat="1" applyFont="1" applyBorder="1" applyAlignment="1">
      <alignment horizontal="center" vertical="center"/>
    </xf>
    <xf numFmtId="49" fontId="72" fillId="2" borderId="9" xfId="0" applyNumberFormat="1" applyFont="1" applyFill="1" applyBorder="1" applyAlignment="1">
      <alignment horizontal="center" vertical="center"/>
    </xf>
    <xf numFmtId="49" fontId="72" fillId="0" borderId="9" xfId="0" applyNumberFormat="1" applyFont="1" applyFill="1" applyBorder="1" applyAlignment="1">
      <alignment horizontal="center" vertical="center"/>
    </xf>
    <xf numFmtId="49" fontId="72" fillId="0" borderId="21" xfId="0" applyNumberFormat="1" applyFont="1" applyBorder="1" applyAlignment="1">
      <alignment horizontal="center" vertical="center"/>
    </xf>
    <xf numFmtId="49" fontId="72" fillId="0" borderId="21" xfId="0" applyNumberFormat="1" applyFont="1" applyFill="1" applyBorder="1" applyAlignment="1">
      <alignment horizontal="center" vertical="center"/>
    </xf>
    <xf numFmtId="49" fontId="72" fillId="2" borderId="21" xfId="0" applyNumberFormat="1" applyFont="1" applyFill="1" applyBorder="1" applyAlignment="1">
      <alignment horizontal="center" vertical="center"/>
    </xf>
    <xf numFmtId="49" fontId="72" fillId="0" borderId="49" xfId="0" applyNumberFormat="1" applyFont="1" applyFill="1" applyBorder="1" applyAlignment="1">
      <alignment horizontal="center" vertical="center"/>
    </xf>
    <xf numFmtId="49" fontId="72" fillId="0" borderId="1" xfId="9" applyNumberFormat="1" applyFont="1" applyFill="1" applyBorder="1" applyAlignment="1">
      <alignment horizontal="center"/>
    </xf>
    <xf numFmtId="49" fontId="72" fillId="0" borderId="1" xfId="0" applyNumberFormat="1" applyFont="1" applyBorder="1" applyAlignment="1">
      <alignment horizontal="center" vertical="center" wrapText="1"/>
    </xf>
    <xf numFmtId="49" fontId="72" fillId="0" borderId="38" xfId="0" applyNumberFormat="1" applyFont="1" applyBorder="1" applyAlignment="1">
      <alignment horizontal="center" vertical="center"/>
    </xf>
    <xf numFmtId="49" fontId="116" fillId="0" borderId="1" xfId="52900" applyNumberFormat="1" applyFont="1" applyBorder="1" applyAlignment="1">
      <alignment horizontal="center" vertical="center"/>
    </xf>
    <xf numFmtId="49" fontId="72" fillId="2" borderId="1" xfId="0" applyNumberFormat="1" applyFont="1" applyFill="1" applyBorder="1" applyAlignment="1">
      <alignment horizontal="center" vertical="center" wrapText="1"/>
    </xf>
    <xf numFmtId="49" fontId="72" fillId="2" borderId="60" xfId="0" applyNumberFormat="1" applyFont="1" applyFill="1" applyBorder="1" applyAlignment="1" applyProtection="1">
      <alignment horizontal="center" vertical="center"/>
    </xf>
    <xf numFmtId="49" fontId="4" fillId="0" borderId="1" xfId="60" applyNumberFormat="1" applyFont="1" applyBorder="1" applyAlignment="1">
      <alignment horizontal="center" vertical="center" wrapText="1"/>
    </xf>
    <xf numFmtId="49" fontId="72" fillId="0" borderId="1" xfId="0" applyNumberFormat="1" applyFont="1" applyFill="1" applyBorder="1" applyAlignment="1">
      <alignment horizontal="center" vertical="center" wrapText="1"/>
    </xf>
    <xf numFmtId="49" fontId="72" fillId="0" borderId="60" xfId="0" applyNumberFormat="1" applyFont="1" applyFill="1" applyBorder="1" applyAlignment="1" applyProtection="1">
      <alignment horizontal="center" vertical="center"/>
    </xf>
    <xf numFmtId="49" fontId="72" fillId="65" borderId="60" xfId="0" applyNumberFormat="1" applyFont="1" applyFill="1" applyBorder="1" applyAlignment="1" applyProtection="1">
      <alignment horizontal="center" vertical="center"/>
    </xf>
    <xf numFmtId="49" fontId="72" fillId="0" borderId="57" xfId="0" applyNumberFormat="1" applyFont="1" applyFill="1" applyBorder="1" applyAlignment="1" applyProtection="1">
      <alignment horizontal="center" vertical="center"/>
    </xf>
    <xf numFmtId="49" fontId="72" fillId="65" borderId="57" xfId="0" applyNumberFormat="1" applyFont="1" applyFill="1" applyBorder="1" applyAlignment="1" applyProtection="1">
      <alignment horizontal="center" vertical="center"/>
    </xf>
    <xf numFmtId="0" fontId="72" fillId="0" borderId="41" xfId="0" applyFont="1" applyBorder="1"/>
    <xf numFmtId="44" fontId="84" fillId="0" borderId="0" xfId="64" applyNumberFormat="1" applyFont="1" applyFill="1" applyAlignment="1"/>
    <xf numFmtId="167" fontId="72" fillId="62" borderId="60" xfId="9" applyFont="1" applyFill="1" applyBorder="1" applyAlignment="1" applyProtection="1">
      <alignment vertical="center"/>
      <protection hidden="1"/>
    </xf>
    <xf numFmtId="1" fontId="2" fillId="0" borderId="1" xfId="0" applyNumberFormat="1" applyFont="1" applyFill="1" applyBorder="1" applyAlignment="1">
      <alignment horizontal="center"/>
    </xf>
    <xf numFmtId="167" fontId="72" fillId="0" borderId="0" xfId="0" applyNumberFormat="1" applyFont="1"/>
    <xf numFmtId="1" fontId="92" fillId="0" borderId="0" xfId="0" applyNumberFormat="1" applyFont="1" applyAlignment="1">
      <alignment horizontal="center"/>
    </xf>
    <xf numFmtId="167" fontId="75" fillId="0" borderId="60" xfId="9" applyFont="1" applyBorder="1"/>
    <xf numFmtId="167" fontId="72" fillId="2" borderId="1" xfId="9" applyNumberFormat="1" applyFont="1" applyFill="1" applyBorder="1" applyAlignment="1">
      <alignment horizontal="left" vertical="top" wrapText="1"/>
    </xf>
    <xf numFmtId="0" fontId="72" fillId="0" borderId="0" xfId="0" applyFont="1" applyAlignment="1">
      <alignment horizontal="left" vertical="center"/>
    </xf>
    <xf numFmtId="1" fontId="1" fillId="0" borderId="1" xfId="0" applyNumberFormat="1" applyFont="1" applyFill="1" applyBorder="1" applyAlignment="1">
      <alignment horizontal="center"/>
    </xf>
    <xf numFmtId="2" fontId="72" fillId="2" borderId="1" xfId="90" applyNumberFormat="1" applyFont="1" applyFill="1" applyBorder="1" applyAlignment="1">
      <alignment vertical="center" wrapText="1"/>
    </xf>
    <xf numFmtId="172" fontId="72" fillId="2" borderId="1" xfId="9" applyNumberFormat="1" applyFont="1" applyFill="1" applyBorder="1" applyAlignment="1">
      <alignment horizontal="left" vertical="center" wrapText="1"/>
    </xf>
    <xf numFmtId="167" fontId="72" fillId="2" borderId="1" xfId="9" applyNumberFormat="1" applyFont="1" applyFill="1" applyBorder="1" applyAlignment="1">
      <alignment horizontal="left" vertical="center" wrapText="1"/>
    </xf>
    <xf numFmtId="166" fontId="72" fillId="2" borderId="1" xfId="19" applyFont="1" applyFill="1" applyBorder="1" applyAlignment="1">
      <alignment horizontal="left" vertical="center" wrapText="1"/>
    </xf>
    <xf numFmtId="49" fontId="72" fillId="2" borderId="1" xfId="9" applyNumberFormat="1" applyFont="1" applyFill="1" applyBorder="1" applyAlignment="1">
      <alignment horizontal="center" vertical="center" wrapText="1"/>
    </xf>
    <xf numFmtId="0" fontId="72" fillId="2" borderId="0" xfId="0" applyFont="1" applyFill="1" applyAlignment="1">
      <alignment vertical="center"/>
    </xf>
    <xf numFmtId="167" fontId="72" fillId="2" borderId="1" xfId="9" applyFont="1" applyFill="1" applyBorder="1" applyAlignment="1">
      <alignment horizontal="left" vertical="center" wrapText="1"/>
    </xf>
    <xf numFmtId="0" fontId="72" fillId="2" borderId="1" xfId="9" applyNumberFormat="1" applyFont="1" applyFill="1" applyBorder="1" applyAlignment="1">
      <alignment horizontal="center" vertical="center" wrapText="1"/>
    </xf>
    <xf numFmtId="44" fontId="72" fillId="63" borderId="1" xfId="67" applyFont="1" applyFill="1" applyBorder="1" applyAlignment="1" applyProtection="1">
      <alignment vertical="center"/>
      <protection locked="0"/>
    </xf>
    <xf numFmtId="0" fontId="4" fillId="2" borderId="1" xfId="60" applyFont="1" applyFill="1" applyBorder="1" applyAlignment="1">
      <alignment wrapText="1"/>
    </xf>
    <xf numFmtId="167" fontId="4" fillId="2" borderId="1" xfId="9" applyFont="1" applyFill="1" applyBorder="1" applyAlignment="1">
      <alignment wrapText="1"/>
    </xf>
    <xf numFmtId="0" fontId="72" fillId="0" borderId="0" xfId="0" applyFont="1" applyFill="1" applyBorder="1" applyAlignment="1">
      <alignment horizontal="left" vertical="top" wrapText="1"/>
    </xf>
    <xf numFmtId="0" fontId="75" fillId="0" borderId="0" xfId="14" applyFont="1" applyFill="1" applyBorder="1" applyAlignment="1" applyProtection="1">
      <alignment horizontal="left" vertical="top" wrapText="1"/>
      <protection hidden="1"/>
    </xf>
    <xf numFmtId="2" fontId="88" fillId="62" borderId="0" xfId="64" applyNumberFormat="1" applyFont="1" applyFill="1" applyBorder="1" applyAlignment="1"/>
    <xf numFmtId="0" fontId="72" fillId="62" borderId="0" xfId="65" applyFont="1" applyFill="1" applyAlignment="1"/>
    <xf numFmtId="49" fontId="85" fillId="61" borderId="39" xfId="64" applyNumberFormat="1" applyFont="1" applyFill="1" applyBorder="1" applyAlignment="1">
      <alignment horizontal="left" vertical="top" wrapText="1"/>
    </xf>
    <xf numFmtId="49" fontId="85" fillId="61" borderId="45" xfId="64" applyNumberFormat="1" applyFont="1" applyFill="1" applyBorder="1" applyAlignment="1">
      <alignment horizontal="left" vertical="top" wrapText="1"/>
    </xf>
    <xf numFmtId="49" fontId="85" fillId="61" borderId="46" xfId="64" applyNumberFormat="1" applyFont="1" applyFill="1" applyBorder="1" applyAlignment="1">
      <alignment horizontal="left" vertical="top" wrapText="1"/>
    </xf>
    <xf numFmtId="49" fontId="85" fillId="61" borderId="47" xfId="64" applyNumberFormat="1" applyFont="1" applyFill="1" applyBorder="1" applyAlignment="1">
      <alignment horizontal="left" vertical="top" wrapText="1"/>
    </xf>
    <xf numFmtId="49" fontId="85" fillId="61" borderId="0" xfId="64" applyNumberFormat="1" applyFont="1" applyFill="1" applyBorder="1" applyAlignment="1">
      <alignment horizontal="left" vertical="top" wrapText="1"/>
    </xf>
    <xf numFmtId="49" fontId="85" fillId="61" borderId="10" xfId="64" applyNumberFormat="1" applyFont="1" applyFill="1" applyBorder="1" applyAlignment="1">
      <alignment horizontal="left" vertical="top" wrapText="1"/>
    </xf>
    <xf numFmtId="49" fontId="85" fillId="61" borderId="40" xfId="64" applyNumberFormat="1" applyFont="1" applyFill="1" applyBorder="1" applyAlignment="1">
      <alignment horizontal="left" vertical="top" wrapText="1"/>
    </xf>
    <xf numFmtId="49" fontId="85" fillId="61" borderId="2" xfId="64" applyNumberFormat="1" applyFont="1" applyFill="1" applyBorder="1" applyAlignment="1">
      <alignment horizontal="left" vertical="top" wrapText="1"/>
    </xf>
    <xf numFmtId="49" fontId="85" fillId="61" borderId="11" xfId="64" applyNumberFormat="1" applyFont="1" applyFill="1" applyBorder="1" applyAlignment="1">
      <alignment horizontal="left" vertical="top" wrapText="1"/>
    </xf>
    <xf numFmtId="172" fontId="86" fillId="61" borderId="5" xfId="9" applyNumberFormat="1" applyFont="1" applyFill="1" applyBorder="1" applyAlignment="1">
      <alignment horizontal="left"/>
    </xf>
    <xf numFmtId="172" fontId="86" fillId="61" borderId="7" xfId="9" applyNumberFormat="1" applyFont="1" applyFill="1" applyBorder="1" applyAlignment="1">
      <alignment horizontal="left"/>
    </xf>
    <xf numFmtId="2" fontId="86" fillId="61" borderId="6" xfId="0" applyNumberFormat="1" applyFont="1" applyFill="1" applyBorder="1" applyAlignment="1">
      <alignment horizontal="center" vertical="center" wrapText="1"/>
    </xf>
    <xf numFmtId="2" fontId="86" fillId="61" borderId="44" xfId="0" applyNumberFormat="1" applyFont="1" applyFill="1" applyBorder="1" applyAlignment="1">
      <alignment horizontal="center" vertical="center" wrapText="1"/>
    </xf>
    <xf numFmtId="2" fontId="86" fillId="61" borderId="7" xfId="0" applyNumberFormat="1" applyFont="1" applyFill="1" applyBorder="1" applyAlignment="1">
      <alignment horizontal="center" vertical="center" wrapText="1"/>
    </xf>
    <xf numFmtId="49" fontId="86" fillId="61" borderId="42" xfId="64" applyNumberFormat="1" applyFont="1" applyFill="1" applyBorder="1" applyAlignment="1">
      <alignment horizontal="left" vertical="top" wrapText="1"/>
    </xf>
    <xf numFmtId="49" fontId="86" fillId="61" borderId="44" xfId="64" applyNumberFormat="1" applyFont="1" applyFill="1" applyBorder="1" applyAlignment="1">
      <alignment horizontal="left" vertical="top" wrapText="1"/>
    </xf>
    <xf numFmtId="49" fontId="86" fillId="61" borderId="41" xfId="64" applyNumberFormat="1" applyFont="1" applyFill="1" applyBorder="1" applyAlignment="1">
      <alignment horizontal="left" vertical="top" wrapText="1"/>
    </xf>
    <xf numFmtId="0" fontId="72" fillId="0" borderId="5" xfId="0" applyFont="1" applyFill="1" applyBorder="1" applyAlignment="1">
      <alignment horizontal="left"/>
    </xf>
    <xf numFmtId="0" fontId="72" fillId="0" borderId="7" xfId="0" applyFont="1" applyFill="1" applyBorder="1" applyAlignment="1">
      <alignment horizontal="left"/>
    </xf>
    <xf numFmtId="0" fontId="77" fillId="0" borderId="5" xfId="14" applyFont="1" applyFill="1" applyBorder="1" applyAlignment="1" applyProtection="1">
      <alignment horizontal="left" vertical="center"/>
      <protection hidden="1"/>
    </xf>
    <xf numFmtId="0" fontId="77" fillId="0" borderId="7" xfId="14" applyFont="1" applyFill="1" applyBorder="1" applyAlignment="1" applyProtection="1">
      <alignment horizontal="left" vertical="center"/>
      <protection hidden="1"/>
    </xf>
    <xf numFmtId="2" fontId="107" fillId="61" borderId="43" xfId="14" applyNumberFormat="1" applyFont="1" applyFill="1" applyBorder="1" applyAlignment="1" applyProtection="1">
      <alignment horizontal="center" vertical="center" wrapText="1"/>
      <protection hidden="1"/>
    </xf>
    <xf numFmtId="2" fontId="107" fillId="61" borderId="5" xfId="4" applyNumberFormat="1" applyFont="1" applyFill="1" applyBorder="1" applyAlignment="1" applyProtection="1">
      <alignment horizontal="center" vertical="center" wrapText="1"/>
      <protection hidden="1"/>
    </xf>
    <xf numFmtId="0" fontId="86" fillId="61" borderId="7" xfId="0" applyFont="1" applyFill="1" applyBorder="1" applyAlignment="1">
      <alignment horizontal="center" vertical="center" wrapText="1"/>
    </xf>
    <xf numFmtId="0" fontId="72" fillId="0" borderId="0" xfId="0" applyFont="1" applyAlignment="1">
      <alignment horizontal="left" vertical="top" wrapText="1"/>
    </xf>
    <xf numFmtId="2" fontId="107" fillId="61" borderId="42" xfId="14" applyNumberFormat="1" applyFont="1" applyFill="1" applyBorder="1" applyAlignment="1" applyProtection="1">
      <alignment horizontal="center" vertical="center" wrapText="1"/>
      <protection hidden="1"/>
    </xf>
    <xf numFmtId="2" fontId="107" fillId="61" borderId="44" xfId="14" applyNumberFormat="1" applyFont="1" applyFill="1" applyBorder="1" applyAlignment="1" applyProtection="1">
      <alignment horizontal="center" vertical="center" wrapText="1"/>
      <protection hidden="1"/>
    </xf>
    <xf numFmtId="2" fontId="107" fillId="61" borderId="41" xfId="14" applyNumberFormat="1" applyFont="1" applyFill="1" applyBorder="1" applyAlignment="1" applyProtection="1">
      <alignment horizontal="center" vertical="center" wrapText="1"/>
      <protection hidden="1"/>
    </xf>
    <xf numFmtId="0" fontId="90" fillId="61" borderId="7" xfId="0" applyFont="1" applyFill="1" applyBorder="1" applyAlignment="1">
      <alignment horizontal="center" vertical="center" wrapText="1"/>
    </xf>
    <xf numFmtId="172" fontId="86" fillId="61" borderId="42" xfId="9" applyNumberFormat="1" applyFont="1" applyFill="1" applyBorder="1" applyAlignment="1">
      <alignment horizontal="center" vertical="top" wrapText="1"/>
    </xf>
    <xf numFmtId="172" fontId="86" fillId="61" borderId="41" xfId="9" applyNumberFormat="1" applyFont="1" applyFill="1" applyBorder="1" applyAlignment="1">
      <alignment horizontal="center" vertical="top" wrapText="1"/>
    </xf>
    <xf numFmtId="0" fontId="72" fillId="0" borderId="5" xfId="10" applyFont="1" applyFill="1" applyBorder="1" applyAlignment="1" applyProtection="1">
      <alignment horizontal="center"/>
      <protection hidden="1"/>
    </xf>
    <xf numFmtId="0" fontId="72" fillId="0" borderId="6" xfId="10" applyFont="1" applyFill="1" applyBorder="1" applyAlignment="1" applyProtection="1">
      <alignment horizontal="center"/>
      <protection hidden="1"/>
    </xf>
    <xf numFmtId="0" fontId="72" fillId="0" borderId="7" xfId="10" applyFont="1" applyFill="1" applyBorder="1" applyAlignment="1" applyProtection="1">
      <alignment horizontal="center"/>
      <protection hidden="1"/>
    </xf>
    <xf numFmtId="3" fontId="76" fillId="62" borderId="60" xfId="63" applyNumberFormat="1" applyFont="1" applyFill="1" applyBorder="1" applyAlignment="1" applyProtection="1">
      <alignment horizontal="center"/>
      <protection hidden="1"/>
    </xf>
    <xf numFmtId="3" fontId="76" fillId="2" borderId="60" xfId="63" applyNumberFormat="1" applyFont="1" applyFill="1" applyBorder="1" applyAlignment="1" applyProtection="1">
      <alignment horizontal="center"/>
      <protection hidden="1"/>
    </xf>
    <xf numFmtId="167" fontId="77" fillId="2" borderId="60" xfId="0" applyNumberFormat="1" applyFont="1" applyFill="1" applyBorder="1"/>
  </cellXfs>
  <cellStyles count="52903">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erekening 3" xfId="52890" xr:uid="{4F38D98A-D25A-4725-932B-95B47EB72C6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10" xfId="52899" xr:uid="{64C022A3-49C6-454D-933A-43E7A4BC972C}"/>
    <cellStyle name="invoer 2" xfId="172" xr:uid="{00000000-0005-0000-0000-000025CE0000}"/>
    <cellStyle name="Invoer 3" xfId="52891" xr:uid="{266879AC-2C9E-45D1-8AC8-BA4FA7359560}"/>
    <cellStyle name="Invoer 4" xfId="52888" xr:uid="{69FEA8AC-DBB8-4C67-BFD2-6962AD547333}"/>
    <cellStyle name="Invoer 5" xfId="52889" xr:uid="{6F20B13B-3CF2-4ECE-A8FC-27CCF6D36CE4}"/>
    <cellStyle name="Invoer 6" xfId="52895" xr:uid="{22B17DC4-0BE8-4A7D-B190-187D2E9C08D2}"/>
    <cellStyle name="Invoer 7" xfId="52896" xr:uid="{42A6BE0E-C833-46C0-A4E6-5F879E50F041}"/>
    <cellStyle name="Invoer 8" xfId="52897" xr:uid="{021D3A5E-85FD-477D-B741-1BF96DC03FB4}"/>
    <cellStyle name="Invoer 9" xfId="52898" xr:uid="{E73334B2-0397-47DC-9331-ADFB392F000B}"/>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Notitie 4" xfId="52892" xr:uid="{CE529E3D-E721-4F7C-A2D5-AA497C1BEC35}"/>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15" xfId="52887" xr:uid="{FFB4C33A-8FAE-470A-BCA0-DCC467827AB0}"/>
    <cellStyle name="Standaard 16" xfId="52900" xr:uid="{4434A614-2D49-4C2A-A2AE-A142002F959B}"/>
    <cellStyle name="Standaard 16 2" xfId="52902" xr:uid="{4601E572-0BE5-4F44-BE39-D99AE1F34487}"/>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2 5" xfId="52901" xr:uid="{70856065-0B9C-4097-A989-F3F75D692A3A}"/>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al 3" xfId="52893" xr:uid="{3C5E44CC-EBD3-4EBA-9296-FD49C5B8DAD1}"/>
    <cellStyle name="Total" xfId="192" xr:uid="{00000000-0005-0000-0000-000082CE0000}"/>
    <cellStyle name="Uitvoer" xfId="29" builtinId="21" customBuiltin="1"/>
    <cellStyle name="Uitvoer 2" xfId="193" xr:uid="{00000000-0005-0000-0000-000084CE0000}"/>
    <cellStyle name="Uitvoer 3" xfId="52894" xr:uid="{E09EF281-26B1-49D9-A6AA-802C9BA67444}"/>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12">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toorenburgh\AppData\Local\Microsoft\Windows\Temporary%20Internet%20Files\Content.Outlook\O0QJRA80\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questionmarkgroup-my.sharepoint.com/%20ATIR%20Werkdocumenten/%20%20ATIR%20in%20%20behandeling/Tarieven%202004/ati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questionmarkgroup-my.sharepoint.com/Documents%20and%20Settings/Naomi/Local%20Settings/Temporary%20Internet%20Files/Content.Outlook/ILGDZFKW/HD%20MBP%20Erik%20ATIR%20Werkdocumenten/%20%20ATIR%20in%20%20behandeling/Tarieven%202004/ati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ychiatrie"/>
      <sheetName val="Blad1"/>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Blad3_(3)1"/>
      <sheetName val="Blad3_(2)1"/>
      <sheetName val="Kalender_(2)"/>
      <sheetName val="01_255"/>
      <sheetName val="02_255"/>
      <sheetName val="04_255"/>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persons/person.xml><?xml version="1.0" encoding="utf-8"?>
<personList xmlns="http://schemas.microsoft.com/office/spreadsheetml/2018/threadedcomments" xmlns:x="http://schemas.openxmlformats.org/spreadsheetml/2006/main">
  <person displayName="Rob Toorenburgh" id="{3D9AFDEB-2ED0-4AE2-96BA-896A36529382}" userId="S::r.toorenburgh@atir.nl::d5ffc5b9-f147-4d21-b763-81850703de9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V10" dT="2021-12-07T15:23:57.82" personId="{3D9AFDEB-2ED0-4AE2-96BA-896A36529382}" id="{2300A68F-DB66-479D-BCB5-F2E86351E07E}">
    <text>Komt nog niet overeen met glasblad, draaitabelmaken voor check waar de afwijking zit</text>
  </threadedComment>
</ThreadedComments>
</file>

<file path=xl/threadedComments/threadedComment2.xml><?xml version="1.0" encoding="utf-8"?>
<ThreadedComments xmlns="http://schemas.microsoft.com/office/spreadsheetml/2018/threadedcomments" xmlns:x="http://schemas.openxmlformats.org/spreadsheetml/2006/main">
  <threadedComment ref="I10" dT="2021-12-14T14:27:23.30" personId="{3D9AFDEB-2ED0-4AE2-96BA-896A36529382}" id="{CFE705BE-5B34-4479-AE82-62494FBF79B7}">
    <text>Nog indexeren 2022</text>
  </threadedComment>
</ThreadedComments>
</file>

<file path=xl/threadedComments/threadedComment3.xml><?xml version="1.0" encoding="utf-8"?>
<ThreadedComments xmlns="http://schemas.microsoft.com/office/spreadsheetml/2018/threadedcomments" xmlns:x="http://schemas.openxmlformats.org/spreadsheetml/2006/main">
  <threadedComment ref="I10" dT="2021-12-14T14:27:23.30" personId="{3D9AFDEB-2ED0-4AE2-96BA-896A36529382}" id="{94F02E2E-932E-4619-8DD6-F059E1E6FF93}">
    <text>Nog indexeren 2022</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 Id="rId5" Type="http://schemas.microsoft.com/office/2017/10/relationships/threadedComment" Target="../threadedComments/threadedComment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microsoft.com/office/2017/10/relationships/threadedComment" Target="../threadedComments/threadedComment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6" activePane="bottomLeft" state="frozen"/>
      <selection activeCell="D33" sqref="D33"/>
      <selection pane="bottomLeft" activeCell="A28" sqref="A28"/>
    </sheetView>
  </sheetViews>
  <sheetFormatPr defaultColWidth="9.33203125" defaultRowHeight="13.2"/>
  <cols>
    <col min="1" max="1" width="36.6640625" style="4" bestFit="1" customWidth="1"/>
    <col min="2" max="4" width="15.6640625" style="4" customWidth="1"/>
    <col min="5" max="5" width="9.6640625" style="4" customWidth="1"/>
    <col min="6" max="6" width="13.88671875" style="4" customWidth="1"/>
    <col min="7" max="7" width="3.109375" style="4" customWidth="1"/>
    <col min="8" max="8" width="7.88671875" style="4" customWidth="1"/>
    <col min="9" max="9" width="27" style="4" bestFit="1" customWidth="1"/>
    <col min="10" max="16384" width="9.33203125" style="4"/>
  </cols>
  <sheetData>
    <row r="1" spans="1:8">
      <c r="A1" s="48" t="s">
        <v>60</v>
      </c>
      <c r="B1" s="2"/>
      <c r="C1" s="2"/>
      <c r="D1" s="2"/>
      <c r="E1" s="2"/>
      <c r="F1" s="3"/>
      <c r="G1" s="3"/>
      <c r="H1" s="3"/>
    </row>
    <row r="2" spans="1:8" ht="26.1" customHeight="1">
      <c r="A2" s="48" t="s">
        <v>24</v>
      </c>
      <c r="B2" s="5"/>
      <c r="C2" s="5"/>
      <c r="D2" s="5"/>
      <c r="E2" s="5"/>
      <c r="F2" s="6"/>
      <c r="G2" s="6"/>
      <c r="H2" s="6"/>
    </row>
    <row r="3" spans="1:8">
      <c r="A3" s="5"/>
      <c r="B3" s="5"/>
      <c r="C3" s="5"/>
      <c r="D3" s="5"/>
      <c r="E3" s="5"/>
      <c r="F3" s="7"/>
      <c r="G3" s="8"/>
      <c r="H3" s="6"/>
    </row>
    <row r="4" spans="1:8" ht="17.25" customHeight="1">
      <c r="A4" s="9" t="s">
        <v>185</v>
      </c>
      <c r="B4" s="10"/>
      <c r="C4" s="10"/>
      <c r="F4" s="467" t="s">
        <v>21</v>
      </c>
      <c r="H4" s="6"/>
    </row>
    <row r="5" spans="1:8" ht="33.75" customHeight="1">
      <c r="A5" s="744" t="s">
        <v>126</v>
      </c>
      <c r="B5" s="744"/>
      <c r="C5" s="744"/>
      <c r="D5" s="744"/>
      <c r="E5" s="744"/>
      <c r="F5" s="744"/>
      <c r="G5" s="8"/>
      <c r="H5" s="6"/>
    </row>
    <row r="6" spans="1:8" ht="18" customHeight="1">
      <c r="A6" s="745"/>
      <c r="B6" s="745"/>
      <c r="C6" s="745"/>
      <c r="D6" s="745"/>
      <c r="E6" s="745"/>
      <c r="F6" s="745"/>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06"/>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15"/>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9C509-04E8-4404-A51F-EB050984DF4C}">
  <sheetPr>
    <tabColor theme="0" tint="-0.14999847407452621"/>
  </sheetPr>
  <dimension ref="A1:U65"/>
  <sheetViews>
    <sheetView showGridLines="0" zoomScaleNormal="100" workbookViewId="0">
      <pane xSplit="1" ySplit="14" topLeftCell="B15" activePane="bottomRight" state="frozen"/>
      <selection pane="topRight" activeCell="B1" sqref="B1"/>
      <selection pane="bottomLeft" activeCell="A23" sqref="A23"/>
      <selection pane="bottomRight" activeCell="G7" sqref="G7"/>
    </sheetView>
  </sheetViews>
  <sheetFormatPr defaultColWidth="8.88671875" defaultRowHeight="13.2"/>
  <cols>
    <col min="1" max="1" width="34.88671875" style="4" customWidth="1"/>
    <col min="2" max="2" width="21.33203125" style="4" customWidth="1"/>
    <col min="3" max="3" width="9" style="4" bestFit="1" customWidth="1"/>
    <col min="4" max="4" width="14.6640625" style="4" customWidth="1"/>
    <col min="5" max="5" width="13" style="4" customWidth="1"/>
    <col min="6" max="6" width="13.109375" style="4" customWidth="1"/>
    <col min="7" max="7" width="15.33203125" style="4" customWidth="1"/>
    <col min="8" max="8" width="13.33203125" style="601" bestFit="1" customWidth="1"/>
    <col min="9" max="9" width="1.6640625" style="4" customWidth="1"/>
    <col min="10" max="10" width="11.33203125" style="4" customWidth="1"/>
    <col min="11" max="11" width="14" style="601" customWidth="1"/>
    <col min="12" max="12" width="1.6640625" style="4" customWidth="1"/>
    <col min="13" max="15" width="11.6640625" style="4" customWidth="1"/>
    <col min="16" max="16" width="11.6640625" style="111" customWidth="1"/>
    <col min="17" max="18" width="11.6640625" style="601" customWidth="1"/>
    <col min="19" max="16384" width="8.88671875" style="4"/>
  </cols>
  <sheetData>
    <row r="1" spans="1:18">
      <c r="A1" s="559" t="s">
        <v>26</v>
      </c>
      <c r="B1" s="560"/>
    </row>
    <row r="2" spans="1:18">
      <c r="A2" s="561"/>
      <c r="B2" s="560"/>
    </row>
    <row r="3" spans="1:18" ht="25.2">
      <c r="A3" s="562" t="str">
        <f>'1-Contractblad totaal'!A3</f>
        <v>Naam opdrachtgever</v>
      </c>
      <c r="B3" s="563" t="str">
        <f>'1-Contractblad totaal'!B3</f>
        <v>Elevantio</v>
      </c>
      <c r="D3" s="777" t="s">
        <v>1127</v>
      </c>
      <c r="E3" s="778"/>
      <c r="F3" s="565" t="s">
        <v>178</v>
      </c>
      <c r="G3" s="565" t="s">
        <v>214</v>
      </c>
    </row>
    <row r="4" spans="1:18" ht="15">
      <c r="A4" s="562" t="str">
        <f>'1-Contractblad totaal'!A4</f>
        <v>Calculatie onderdeel</v>
      </c>
      <c r="B4" s="140" t="str">
        <f ca="1">MID(CELL("bestandsnaam",$D$9),SEARCH("]",CELL("bestandsnaam",$D$9),1)+1,256)</f>
        <v>9b-Vloeronderhoud</v>
      </c>
      <c r="D4" s="478" t="s">
        <v>935</v>
      </c>
      <c r="E4" s="723"/>
      <c r="F4" s="566">
        <v>0</v>
      </c>
      <c r="G4" s="304" t="s">
        <v>1134</v>
      </c>
    </row>
    <row r="5" spans="1:18" ht="15">
      <c r="A5" s="562" t="str">
        <f>'1-Contractblad totaal'!A5</f>
        <v>Gebouw/plaats</v>
      </c>
      <c r="B5" s="563" t="str">
        <f>'1-Contractblad totaal'!B5</f>
        <v>Markt 1, Axel</v>
      </c>
      <c r="D5" s="478" t="s">
        <v>936</v>
      </c>
      <c r="E5" s="723"/>
      <c r="F5" s="566">
        <v>0</v>
      </c>
      <c r="G5" s="304">
        <v>1</v>
      </c>
    </row>
    <row r="6" spans="1:18" ht="15">
      <c r="A6" s="562" t="str">
        <f>'1-Contractblad totaal'!A6</f>
        <v>Referentie nummer</v>
      </c>
      <c r="B6" s="563" t="str">
        <f>'1-Contractblad totaal'!B6</f>
        <v>Elevantio-EA-LK-RT-2022</v>
      </c>
      <c r="D6" s="478" t="s">
        <v>937</v>
      </c>
      <c r="E6" s="723"/>
      <c r="F6" s="566">
        <v>0</v>
      </c>
      <c r="G6" s="304" t="s">
        <v>1134</v>
      </c>
    </row>
    <row r="7" spans="1:18" ht="15">
      <c r="A7" s="562" t="str">
        <f>'1-Contractblad totaal'!A7</f>
        <v>Versienummer</v>
      </c>
      <c r="B7" s="563" t="str">
        <f>'1-Contractblad totaal'!B7</f>
        <v>Aanbesteding</v>
      </c>
      <c r="D7" s="478" t="s">
        <v>971</v>
      </c>
      <c r="E7" s="723"/>
      <c r="F7" s="566">
        <v>0</v>
      </c>
      <c r="G7" s="304">
        <v>0.5</v>
      </c>
    </row>
    <row r="8" spans="1:18" ht="15">
      <c r="A8" s="562" t="str">
        <f>'1-Contractblad totaal'!A8</f>
        <v>Naam dienstverlener</v>
      </c>
      <c r="B8" s="563">
        <f>'1-Contractblad totaal'!B8</f>
        <v>0</v>
      </c>
    </row>
    <row r="9" spans="1:18" ht="15">
      <c r="A9" s="562" t="str">
        <f>'1-Contractblad totaal'!A9</f>
        <v>Prijspeil</v>
      </c>
      <c r="B9" s="114">
        <f>'1-Contractblad totaal'!B9</f>
        <v>44652</v>
      </c>
      <c r="D9" s="478" t="s">
        <v>938</v>
      </c>
      <c r="E9" s="723"/>
      <c r="F9" s="567">
        <v>0</v>
      </c>
    </row>
    <row r="10" spans="1:18">
      <c r="A10" s="350"/>
      <c r="B10" s="350"/>
      <c r="D10" s="478" t="s">
        <v>940</v>
      </c>
      <c r="E10" s="723"/>
      <c r="F10" s="567">
        <v>0</v>
      </c>
    </row>
    <row r="11" spans="1:18">
      <c r="D11" s="478" t="s">
        <v>939</v>
      </c>
      <c r="E11" s="723"/>
      <c r="F11" s="567">
        <v>0</v>
      </c>
    </row>
    <row r="12" spans="1:18">
      <c r="D12" s="478" t="s">
        <v>972</v>
      </c>
      <c r="E12" s="723"/>
      <c r="F12" s="567">
        <v>0</v>
      </c>
    </row>
    <row r="14" spans="1:18" ht="50.4">
      <c r="A14" s="461" t="s">
        <v>103</v>
      </c>
      <c r="B14" s="568" t="s">
        <v>941</v>
      </c>
      <c r="C14" s="568" t="s">
        <v>942</v>
      </c>
      <c r="D14" s="568" t="s">
        <v>943</v>
      </c>
      <c r="E14" s="568" t="s">
        <v>944</v>
      </c>
      <c r="F14" s="568" t="s">
        <v>945</v>
      </c>
      <c r="G14" s="568" t="s">
        <v>946</v>
      </c>
      <c r="H14" s="602" t="s">
        <v>947</v>
      </c>
      <c r="J14" s="568" t="s">
        <v>948</v>
      </c>
      <c r="K14" s="602" t="s">
        <v>949</v>
      </c>
      <c r="M14" s="568" t="s">
        <v>978</v>
      </c>
      <c r="N14" s="568" t="s">
        <v>973</v>
      </c>
      <c r="O14" s="568" t="s">
        <v>974</v>
      </c>
      <c r="P14" s="604" t="s">
        <v>975</v>
      </c>
      <c r="Q14" s="602" t="s">
        <v>976</v>
      </c>
      <c r="R14" s="602" t="s">
        <v>977</v>
      </c>
    </row>
    <row r="15" spans="1:18" s="409" customFormat="1">
      <c r="A15" s="576" t="str">
        <f>'2-Kosten per locatie'!A11</f>
        <v>de Brug (Sbao)</v>
      </c>
      <c r="B15" s="597">
        <f>SUMIF(gebouw,'9b-Vloeronderhoud'!A15,'4-Basis ruimtestaat'!K:K)</f>
        <v>528.14999961853027</v>
      </c>
      <c r="C15" s="730" t="e">
        <f>SUMIF(gebouw,'9b-Vloeronderhoud'!A15,'4-Basis ruimtestaat'!O:O)</f>
        <v>#DIV/0!</v>
      </c>
      <c r="D15" s="600" t="e">
        <f>C15*$F$9</f>
        <v>#DIV/0!</v>
      </c>
      <c r="E15" s="730" t="e">
        <f t="shared" ref="E15:E59" si="0">B15/$F$5</f>
        <v>#DIV/0!</v>
      </c>
      <c r="F15" s="599">
        <f t="shared" ref="F15:F59" si="1">$G$5</f>
        <v>1</v>
      </c>
      <c r="G15" s="597" t="e">
        <f t="shared" ref="G15:G59" si="2">F15*E15</f>
        <v>#DIV/0!</v>
      </c>
      <c r="H15" s="600" t="e">
        <f t="shared" ref="H15:H59" si="3">G15*$F$10</f>
        <v>#DIV/0!</v>
      </c>
      <c r="J15" s="598" t="e">
        <f>SUMIF(gebouw,'9b-Vloeronderhoud'!A15,'4-Basis ruimtestaat'!Q:Q)</f>
        <v>#DIV/0!</v>
      </c>
      <c r="K15" s="600" t="e">
        <f>J15*$F$11</f>
        <v>#DIV/0!</v>
      </c>
      <c r="M15" s="597">
        <f>SUMIF(gebouw,'9b-Vloeronderhoud'!A15,'4-Basis ruimtestaat'!M:M)</f>
        <v>195.75</v>
      </c>
      <c r="N15" s="598" t="e">
        <f t="shared" ref="N15:N59" si="4">M15/$F$7</f>
        <v>#DIV/0!</v>
      </c>
      <c r="O15" s="603">
        <f t="shared" ref="O15:O59" si="5">$G$7</f>
        <v>0.5</v>
      </c>
      <c r="P15" s="598" t="e">
        <f t="shared" ref="P15:P59" si="6">O15*N15</f>
        <v>#DIV/0!</v>
      </c>
      <c r="Q15" s="600" t="e">
        <f t="shared" ref="Q15:Q59" si="7">N15*$F$12</f>
        <v>#DIV/0!</v>
      </c>
      <c r="R15" s="600" t="e">
        <f t="shared" ref="R15:R59" si="8">P15*$F$12</f>
        <v>#DIV/0!</v>
      </c>
    </row>
    <row r="16" spans="1:18" s="409" customFormat="1">
      <c r="A16" s="576" t="str">
        <f>'2-Kosten per locatie'!A12</f>
        <v>de Driesprong</v>
      </c>
      <c r="B16" s="597">
        <f>SUMIF(gebouw,'9b-Vloeronderhoud'!A16,'4-Basis ruimtestaat'!K:K)</f>
        <v>476.94999999999993</v>
      </c>
      <c r="C16" s="730" t="e">
        <f>SUMIF(gebouw,'9b-Vloeronderhoud'!A16,'4-Basis ruimtestaat'!O:O)</f>
        <v>#DIV/0!</v>
      </c>
      <c r="D16" s="600" t="e">
        <f t="shared" ref="D16:D59" si="9">C16*$F$9</f>
        <v>#DIV/0!</v>
      </c>
      <c r="E16" s="730" t="e">
        <f t="shared" si="0"/>
        <v>#DIV/0!</v>
      </c>
      <c r="F16" s="599">
        <f t="shared" si="1"/>
        <v>1</v>
      </c>
      <c r="G16" s="597" t="e">
        <f t="shared" si="2"/>
        <v>#DIV/0!</v>
      </c>
      <c r="H16" s="600" t="e">
        <f t="shared" si="3"/>
        <v>#DIV/0!</v>
      </c>
      <c r="J16" s="598" t="e">
        <f>SUMIF(gebouw,'9b-Vloeronderhoud'!A16,'4-Basis ruimtestaat'!Q:Q)</f>
        <v>#DIV/0!</v>
      </c>
      <c r="K16" s="600" t="e">
        <f t="shared" ref="K16:K59" si="10">J16*$F$11</f>
        <v>#DIV/0!</v>
      </c>
      <c r="M16" s="597">
        <f>SUMIF(gebouw,'9b-Vloeronderhoud'!A16,'4-Basis ruimtestaat'!M:M)</f>
        <v>286.95</v>
      </c>
      <c r="N16" s="598" t="e">
        <f t="shared" si="4"/>
        <v>#DIV/0!</v>
      </c>
      <c r="O16" s="603">
        <f t="shared" si="5"/>
        <v>0.5</v>
      </c>
      <c r="P16" s="598" t="e">
        <f t="shared" si="6"/>
        <v>#DIV/0!</v>
      </c>
      <c r="Q16" s="600" t="e">
        <f t="shared" si="7"/>
        <v>#DIV/0!</v>
      </c>
      <c r="R16" s="600" t="e">
        <f t="shared" si="8"/>
        <v>#DIV/0!</v>
      </c>
    </row>
    <row r="17" spans="1:18" s="409" customFormat="1">
      <c r="A17" s="576" t="str">
        <f>'2-Kosten per locatie'!A13</f>
        <v>De Irisschool</v>
      </c>
      <c r="B17" s="597">
        <f>SUMIF(gebouw,'9b-Vloeronderhoud'!A17,'4-Basis ruimtestaat'!K:K)</f>
        <v>817.56000852584839</v>
      </c>
      <c r="C17" s="730" t="e">
        <f>SUMIF(gebouw,'9b-Vloeronderhoud'!A17,'4-Basis ruimtestaat'!O:O)</f>
        <v>#DIV/0!</v>
      </c>
      <c r="D17" s="600" t="e">
        <f t="shared" si="9"/>
        <v>#DIV/0!</v>
      </c>
      <c r="E17" s="730" t="e">
        <f t="shared" si="0"/>
        <v>#DIV/0!</v>
      </c>
      <c r="F17" s="599">
        <f t="shared" si="1"/>
        <v>1</v>
      </c>
      <c r="G17" s="597" t="e">
        <f t="shared" si="2"/>
        <v>#DIV/0!</v>
      </c>
      <c r="H17" s="600" t="e">
        <f t="shared" si="3"/>
        <v>#DIV/0!</v>
      </c>
      <c r="J17" s="598" t="e">
        <f>SUMIF(gebouw,'9b-Vloeronderhoud'!A17,'4-Basis ruimtestaat'!Q:Q)</f>
        <v>#DIV/0!</v>
      </c>
      <c r="K17" s="600" t="e">
        <f t="shared" si="10"/>
        <v>#DIV/0!</v>
      </c>
      <c r="M17" s="597">
        <f>SUMIF(gebouw,'9b-Vloeronderhoud'!A17,'4-Basis ruimtestaat'!M:M)</f>
        <v>7.1999998092651367</v>
      </c>
      <c r="N17" s="598" t="e">
        <f t="shared" si="4"/>
        <v>#DIV/0!</v>
      </c>
      <c r="O17" s="603">
        <f t="shared" si="5"/>
        <v>0.5</v>
      </c>
      <c r="P17" s="598" t="e">
        <f t="shared" si="6"/>
        <v>#DIV/0!</v>
      </c>
      <c r="Q17" s="600" t="e">
        <f t="shared" si="7"/>
        <v>#DIV/0!</v>
      </c>
      <c r="R17" s="600" t="e">
        <f t="shared" si="8"/>
        <v>#DIV/0!</v>
      </c>
    </row>
    <row r="18" spans="1:18" s="409" customFormat="1">
      <c r="A18" s="576" t="str">
        <f>'2-Kosten per locatie'!A14</f>
        <v xml:space="preserve">De Kameleon        </v>
      </c>
      <c r="B18" s="597">
        <f>SUMIF(gebouw,'9b-Vloeronderhoud'!A18,'4-Basis ruimtestaat'!K:K)</f>
        <v>966.99999876022343</v>
      </c>
      <c r="C18" s="730" t="e">
        <f>SUMIF(gebouw,'9b-Vloeronderhoud'!A18,'4-Basis ruimtestaat'!O:O)</f>
        <v>#DIV/0!</v>
      </c>
      <c r="D18" s="600" t="e">
        <f t="shared" si="9"/>
        <v>#DIV/0!</v>
      </c>
      <c r="E18" s="730" t="e">
        <f t="shared" si="0"/>
        <v>#DIV/0!</v>
      </c>
      <c r="F18" s="599">
        <f t="shared" si="1"/>
        <v>1</v>
      </c>
      <c r="G18" s="597" t="e">
        <f t="shared" si="2"/>
        <v>#DIV/0!</v>
      </c>
      <c r="H18" s="600" t="e">
        <f t="shared" si="3"/>
        <v>#DIV/0!</v>
      </c>
      <c r="J18" s="598" t="e">
        <f>SUMIF(gebouw,'9b-Vloeronderhoud'!A18,'4-Basis ruimtestaat'!Q:Q)</f>
        <v>#DIV/0!</v>
      </c>
      <c r="K18" s="600" t="e">
        <f t="shared" si="10"/>
        <v>#DIV/0!</v>
      </c>
      <c r="M18" s="597">
        <f>SUMIF(gebouw,'9b-Vloeronderhoud'!A18,'4-Basis ruimtestaat'!M:M)</f>
        <v>28.99999990463257</v>
      </c>
      <c r="N18" s="598" t="e">
        <f t="shared" si="4"/>
        <v>#DIV/0!</v>
      </c>
      <c r="O18" s="603">
        <f t="shared" si="5"/>
        <v>0.5</v>
      </c>
      <c r="P18" s="598" t="e">
        <f t="shared" si="6"/>
        <v>#DIV/0!</v>
      </c>
      <c r="Q18" s="600" t="e">
        <f t="shared" si="7"/>
        <v>#DIV/0!</v>
      </c>
      <c r="R18" s="600" t="e">
        <f t="shared" si="8"/>
        <v>#DIV/0!</v>
      </c>
    </row>
    <row r="19" spans="1:18" s="409" customFormat="1">
      <c r="A19" s="576" t="str">
        <f>'2-Kosten per locatie'!A15</f>
        <v>De Kameleon kinderdagopvang</v>
      </c>
      <c r="B19" s="597">
        <f>SUMIF(gebouw,'9b-Vloeronderhoud'!A19,'4-Basis ruimtestaat'!K:K)</f>
        <v>214.79999999999998</v>
      </c>
      <c r="C19" s="730" t="e">
        <f>SUMIF(gebouw,'9b-Vloeronderhoud'!A19,'4-Basis ruimtestaat'!O:O)</f>
        <v>#DIV/0!</v>
      </c>
      <c r="D19" s="600" t="e">
        <f t="shared" si="9"/>
        <v>#DIV/0!</v>
      </c>
      <c r="E19" s="730" t="e">
        <f t="shared" si="0"/>
        <v>#DIV/0!</v>
      </c>
      <c r="F19" s="599">
        <f t="shared" si="1"/>
        <v>1</v>
      </c>
      <c r="G19" s="597" t="e">
        <f t="shared" si="2"/>
        <v>#DIV/0!</v>
      </c>
      <c r="H19" s="600" t="e">
        <f t="shared" si="3"/>
        <v>#DIV/0!</v>
      </c>
      <c r="J19" s="598" t="e">
        <f>SUMIF(gebouw,'9b-Vloeronderhoud'!A19,'4-Basis ruimtestaat'!Q:Q)</f>
        <v>#DIV/0!</v>
      </c>
      <c r="K19" s="600" t="e">
        <f t="shared" si="10"/>
        <v>#DIV/0!</v>
      </c>
      <c r="M19" s="597">
        <f>SUMIF(gebouw,'9b-Vloeronderhoud'!A19,'4-Basis ruimtestaat'!M:M)</f>
        <v>0</v>
      </c>
      <c r="N19" s="598" t="e">
        <f t="shared" si="4"/>
        <v>#DIV/0!</v>
      </c>
      <c r="O19" s="603">
        <f t="shared" si="5"/>
        <v>0.5</v>
      </c>
      <c r="P19" s="598" t="e">
        <f t="shared" si="6"/>
        <v>#DIV/0!</v>
      </c>
      <c r="Q19" s="600" t="e">
        <f t="shared" si="7"/>
        <v>#DIV/0!</v>
      </c>
      <c r="R19" s="600" t="e">
        <f t="shared" si="8"/>
        <v>#DIV/0!</v>
      </c>
    </row>
    <row r="20" spans="1:18" s="409" customFormat="1">
      <c r="A20" s="576" t="str">
        <f>'2-Kosten per locatie'!A16</f>
        <v>De Kreeke</v>
      </c>
      <c r="B20" s="597">
        <f>SUMIF(gebouw,'9b-Vloeronderhoud'!A20,'4-Basis ruimtestaat'!K:K)</f>
        <v>527.04999995231628</v>
      </c>
      <c r="C20" s="730" t="e">
        <f>SUMIF(gebouw,'9b-Vloeronderhoud'!A20,'4-Basis ruimtestaat'!O:O)</f>
        <v>#DIV/0!</v>
      </c>
      <c r="D20" s="600" t="e">
        <f t="shared" si="9"/>
        <v>#DIV/0!</v>
      </c>
      <c r="E20" s="730" t="e">
        <f t="shared" si="0"/>
        <v>#DIV/0!</v>
      </c>
      <c r="F20" s="599">
        <f t="shared" si="1"/>
        <v>1</v>
      </c>
      <c r="G20" s="597" t="e">
        <f t="shared" si="2"/>
        <v>#DIV/0!</v>
      </c>
      <c r="H20" s="600" t="e">
        <f t="shared" si="3"/>
        <v>#DIV/0!</v>
      </c>
      <c r="J20" s="598" t="e">
        <f>SUMIF(gebouw,'9b-Vloeronderhoud'!A20,'4-Basis ruimtestaat'!Q:Q)</f>
        <v>#DIV/0!</v>
      </c>
      <c r="K20" s="600" t="e">
        <f t="shared" si="10"/>
        <v>#DIV/0!</v>
      </c>
      <c r="M20" s="597">
        <f>SUMIF(gebouw,'9b-Vloeronderhoud'!A20,'4-Basis ruimtestaat'!M:M)</f>
        <v>40.050000190734863</v>
      </c>
      <c r="N20" s="598" t="e">
        <f t="shared" si="4"/>
        <v>#DIV/0!</v>
      </c>
      <c r="O20" s="603">
        <f t="shared" si="5"/>
        <v>0.5</v>
      </c>
      <c r="P20" s="598" t="e">
        <f t="shared" si="6"/>
        <v>#DIV/0!</v>
      </c>
      <c r="Q20" s="600" t="e">
        <f t="shared" si="7"/>
        <v>#DIV/0!</v>
      </c>
      <c r="R20" s="600" t="e">
        <f t="shared" si="8"/>
        <v>#DIV/0!</v>
      </c>
    </row>
    <row r="21" spans="1:18" s="409" customFormat="1">
      <c r="A21" s="576" t="str">
        <f>'2-Kosten per locatie'!A17</f>
        <v>de Molenkreek</v>
      </c>
      <c r="B21" s="597">
        <f>SUMIF(gebouw,'9b-Vloeronderhoud'!A21,'4-Basis ruimtestaat'!K:K)</f>
        <v>517.70000000000005</v>
      </c>
      <c r="C21" s="730" t="e">
        <f>SUMIF(gebouw,'9b-Vloeronderhoud'!A21,'4-Basis ruimtestaat'!O:O)</f>
        <v>#DIV/0!</v>
      </c>
      <c r="D21" s="600" t="e">
        <f t="shared" si="9"/>
        <v>#DIV/0!</v>
      </c>
      <c r="E21" s="730" t="e">
        <f t="shared" si="0"/>
        <v>#DIV/0!</v>
      </c>
      <c r="F21" s="599">
        <f t="shared" si="1"/>
        <v>1</v>
      </c>
      <c r="G21" s="597" t="e">
        <f t="shared" si="2"/>
        <v>#DIV/0!</v>
      </c>
      <c r="H21" s="600" t="e">
        <f t="shared" si="3"/>
        <v>#DIV/0!</v>
      </c>
      <c r="J21" s="598" t="e">
        <f>SUMIF(gebouw,'9b-Vloeronderhoud'!A21,'4-Basis ruimtestaat'!Q:Q)</f>
        <v>#DIV/0!</v>
      </c>
      <c r="K21" s="600" t="e">
        <f t="shared" si="10"/>
        <v>#DIV/0!</v>
      </c>
      <c r="M21" s="597">
        <f>SUMIF(gebouw,'9b-Vloeronderhoud'!A21,'4-Basis ruimtestaat'!M:M)</f>
        <v>51.2</v>
      </c>
      <c r="N21" s="598" t="e">
        <f t="shared" si="4"/>
        <v>#DIV/0!</v>
      </c>
      <c r="O21" s="603">
        <f t="shared" si="5"/>
        <v>0.5</v>
      </c>
      <c r="P21" s="598" t="e">
        <f t="shared" si="6"/>
        <v>#DIV/0!</v>
      </c>
      <c r="Q21" s="600" t="e">
        <f t="shared" si="7"/>
        <v>#DIV/0!</v>
      </c>
      <c r="R21" s="600" t="e">
        <f t="shared" si="8"/>
        <v>#DIV/0!</v>
      </c>
    </row>
    <row r="22" spans="1:18" s="409" customFormat="1">
      <c r="A22" s="576" t="str">
        <f>'2-Kosten per locatie'!A18</f>
        <v>De Oostvogel</v>
      </c>
      <c r="B22" s="597">
        <f>SUMIF(gebouw,'9b-Vloeronderhoud'!A22,'4-Basis ruimtestaat'!K:K)</f>
        <v>40.299999237060547</v>
      </c>
      <c r="C22" s="730">
        <f>SUMIF(gebouw,'9b-Vloeronderhoud'!A22,'4-Basis ruimtestaat'!O:O)</f>
        <v>0</v>
      </c>
      <c r="D22" s="600">
        <f t="shared" si="9"/>
        <v>0</v>
      </c>
      <c r="E22" s="730" t="e">
        <f t="shared" si="0"/>
        <v>#DIV/0!</v>
      </c>
      <c r="F22" s="599">
        <f t="shared" si="1"/>
        <v>1</v>
      </c>
      <c r="G22" s="597" t="e">
        <f t="shared" si="2"/>
        <v>#DIV/0!</v>
      </c>
      <c r="H22" s="600" t="e">
        <f t="shared" si="3"/>
        <v>#DIV/0!</v>
      </c>
      <c r="J22" s="598" t="e">
        <f>SUMIF(gebouw,'9b-Vloeronderhoud'!A22,'4-Basis ruimtestaat'!Q:Q)</f>
        <v>#DIV/0!</v>
      </c>
      <c r="K22" s="600" t="e">
        <f t="shared" si="10"/>
        <v>#DIV/0!</v>
      </c>
      <c r="M22" s="597">
        <f>SUMIF(gebouw,'9b-Vloeronderhoud'!A22,'4-Basis ruimtestaat'!M:M)</f>
        <v>43.749999523162842</v>
      </c>
      <c r="N22" s="598" t="e">
        <f t="shared" si="4"/>
        <v>#DIV/0!</v>
      </c>
      <c r="O22" s="603">
        <f t="shared" si="5"/>
        <v>0.5</v>
      </c>
      <c r="P22" s="598" t="e">
        <f t="shared" si="6"/>
        <v>#DIV/0!</v>
      </c>
      <c r="Q22" s="600" t="e">
        <f t="shared" si="7"/>
        <v>#DIV/0!</v>
      </c>
      <c r="R22" s="600" t="e">
        <f t="shared" si="8"/>
        <v>#DIV/0!</v>
      </c>
    </row>
    <row r="23" spans="1:18" s="409" customFormat="1">
      <c r="A23" s="576" t="str">
        <f>'2-Kosten per locatie'!A19</f>
        <v>De Oude Vaart</v>
      </c>
      <c r="B23" s="597">
        <f>SUMIF(gebouw,'9b-Vloeronderhoud'!A23,'4-Basis ruimtestaat'!K:K)</f>
        <v>1166.0899999999997</v>
      </c>
      <c r="C23" s="730" t="e">
        <f>SUMIF(gebouw,'9b-Vloeronderhoud'!A23,'4-Basis ruimtestaat'!O:O)</f>
        <v>#DIV/0!</v>
      </c>
      <c r="D23" s="600" t="e">
        <f t="shared" si="9"/>
        <v>#DIV/0!</v>
      </c>
      <c r="E23" s="730" t="e">
        <f t="shared" si="0"/>
        <v>#DIV/0!</v>
      </c>
      <c r="F23" s="599">
        <f t="shared" si="1"/>
        <v>1</v>
      </c>
      <c r="G23" s="597" t="e">
        <f t="shared" si="2"/>
        <v>#DIV/0!</v>
      </c>
      <c r="H23" s="600" t="e">
        <f t="shared" si="3"/>
        <v>#DIV/0!</v>
      </c>
      <c r="J23" s="598" t="e">
        <f>SUMIF(gebouw,'9b-Vloeronderhoud'!A23,'4-Basis ruimtestaat'!Q:Q)</f>
        <v>#DIV/0!</v>
      </c>
      <c r="K23" s="600" t="e">
        <f t="shared" si="10"/>
        <v>#DIV/0!</v>
      </c>
      <c r="M23" s="597">
        <f>SUMIF(gebouw,'9b-Vloeronderhoud'!A23,'4-Basis ruimtestaat'!M:M)</f>
        <v>245.14</v>
      </c>
      <c r="N23" s="598" t="e">
        <f t="shared" si="4"/>
        <v>#DIV/0!</v>
      </c>
      <c r="O23" s="603">
        <f t="shared" si="5"/>
        <v>0.5</v>
      </c>
      <c r="P23" s="598" t="e">
        <f t="shared" si="6"/>
        <v>#DIV/0!</v>
      </c>
      <c r="Q23" s="600" t="e">
        <f t="shared" si="7"/>
        <v>#DIV/0!</v>
      </c>
      <c r="R23" s="600" t="e">
        <f t="shared" si="8"/>
        <v>#DIV/0!</v>
      </c>
    </row>
    <row r="24" spans="1:18" s="409" customFormat="1">
      <c r="A24" s="576" t="str">
        <f>'2-Kosten per locatie'!A20</f>
        <v>De Parel</v>
      </c>
      <c r="B24" s="597">
        <f>SUMIF(gebouw,'9b-Vloeronderhoud'!A24,'4-Basis ruimtestaat'!K:K)</f>
        <v>714.11000823974609</v>
      </c>
      <c r="C24" s="730" t="e">
        <f>SUMIF(gebouw,'9b-Vloeronderhoud'!A24,'4-Basis ruimtestaat'!O:O)</f>
        <v>#DIV/0!</v>
      </c>
      <c r="D24" s="600" t="e">
        <f t="shared" si="9"/>
        <v>#DIV/0!</v>
      </c>
      <c r="E24" s="730" t="e">
        <f t="shared" si="0"/>
        <v>#DIV/0!</v>
      </c>
      <c r="F24" s="599">
        <f t="shared" si="1"/>
        <v>1</v>
      </c>
      <c r="G24" s="597" t="e">
        <f t="shared" si="2"/>
        <v>#DIV/0!</v>
      </c>
      <c r="H24" s="600" t="e">
        <f t="shared" si="3"/>
        <v>#DIV/0!</v>
      </c>
      <c r="J24" s="598" t="e">
        <f>SUMIF(gebouw,'9b-Vloeronderhoud'!A24,'4-Basis ruimtestaat'!Q:Q)</f>
        <v>#DIV/0!</v>
      </c>
      <c r="K24" s="600" t="e">
        <f t="shared" si="10"/>
        <v>#DIV/0!</v>
      </c>
      <c r="M24" s="597">
        <f>SUMIF(gebouw,'9b-Vloeronderhoud'!A24,'4-Basis ruimtestaat'!M:M)</f>
        <v>7.1999998092651367</v>
      </c>
      <c r="N24" s="598" t="e">
        <f t="shared" si="4"/>
        <v>#DIV/0!</v>
      </c>
      <c r="O24" s="603">
        <f t="shared" si="5"/>
        <v>0.5</v>
      </c>
      <c r="P24" s="598" t="e">
        <f t="shared" si="6"/>
        <v>#DIV/0!</v>
      </c>
      <c r="Q24" s="600" t="e">
        <f t="shared" si="7"/>
        <v>#DIV/0!</v>
      </c>
      <c r="R24" s="600" t="e">
        <f t="shared" si="8"/>
        <v>#DIV/0!</v>
      </c>
    </row>
    <row r="25" spans="1:18" s="409" customFormat="1">
      <c r="A25" s="576" t="str">
        <f>'2-Kosten per locatie'!A21</f>
        <v>De Schakel</v>
      </c>
      <c r="B25" s="597">
        <f>SUMIF(gebouw,'9b-Vloeronderhoud'!A25,'4-Basis ruimtestaat'!K:K)</f>
        <v>985.50001049041748</v>
      </c>
      <c r="C25" s="730" t="e">
        <f>SUMIF(gebouw,'9b-Vloeronderhoud'!A25,'4-Basis ruimtestaat'!O:O)</f>
        <v>#DIV/0!</v>
      </c>
      <c r="D25" s="600" t="e">
        <f t="shared" si="9"/>
        <v>#DIV/0!</v>
      </c>
      <c r="E25" s="730" t="e">
        <f t="shared" si="0"/>
        <v>#DIV/0!</v>
      </c>
      <c r="F25" s="599">
        <f t="shared" si="1"/>
        <v>1</v>
      </c>
      <c r="G25" s="597" t="e">
        <f t="shared" si="2"/>
        <v>#DIV/0!</v>
      </c>
      <c r="H25" s="600" t="e">
        <f t="shared" si="3"/>
        <v>#DIV/0!</v>
      </c>
      <c r="J25" s="598" t="e">
        <f>SUMIF(gebouw,'9b-Vloeronderhoud'!A25,'4-Basis ruimtestaat'!Q:Q)</f>
        <v>#DIV/0!</v>
      </c>
      <c r="K25" s="600" t="e">
        <f t="shared" si="10"/>
        <v>#DIV/0!</v>
      </c>
      <c r="M25" s="597">
        <f>SUMIF(gebouw,'9b-Vloeronderhoud'!A25,'4-Basis ruimtestaat'!M:M)</f>
        <v>17.700000762939453</v>
      </c>
      <c r="N25" s="598" t="e">
        <f t="shared" si="4"/>
        <v>#DIV/0!</v>
      </c>
      <c r="O25" s="603">
        <f t="shared" si="5"/>
        <v>0.5</v>
      </c>
      <c r="P25" s="598" t="e">
        <f t="shared" si="6"/>
        <v>#DIV/0!</v>
      </c>
      <c r="Q25" s="600" t="e">
        <f t="shared" si="7"/>
        <v>#DIV/0!</v>
      </c>
      <c r="R25" s="600" t="e">
        <f t="shared" si="8"/>
        <v>#DIV/0!</v>
      </c>
    </row>
    <row r="26" spans="1:18" s="409" customFormat="1">
      <c r="A26" s="576" t="str">
        <f>'2-Kosten per locatie'!A22</f>
        <v>De Statie</v>
      </c>
      <c r="B26" s="597">
        <f>SUMIF(gebouw,'9b-Vloeronderhoud'!A26,'4-Basis ruimtestaat'!K:K)</f>
        <v>851.60000014305115</v>
      </c>
      <c r="C26" s="730" t="e">
        <f>SUMIF(gebouw,'9b-Vloeronderhoud'!A26,'4-Basis ruimtestaat'!O:O)</f>
        <v>#DIV/0!</v>
      </c>
      <c r="D26" s="600" t="e">
        <f t="shared" si="9"/>
        <v>#DIV/0!</v>
      </c>
      <c r="E26" s="730" t="e">
        <f t="shared" si="0"/>
        <v>#DIV/0!</v>
      </c>
      <c r="F26" s="599">
        <f t="shared" si="1"/>
        <v>1</v>
      </c>
      <c r="G26" s="597" t="e">
        <f t="shared" si="2"/>
        <v>#DIV/0!</v>
      </c>
      <c r="H26" s="600" t="e">
        <f t="shared" si="3"/>
        <v>#DIV/0!</v>
      </c>
      <c r="J26" s="598" t="e">
        <f>SUMIF(gebouw,'9b-Vloeronderhoud'!A26,'4-Basis ruimtestaat'!Q:Q)</f>
        <v>#DIV/0!</v>
      </c>
      <c r="K26" s="600" t="e">
        <f t="shared" si="10"/>
        <v>#DIV/0!</v>
      </c>
      <c r="M26" s="597">
        <f>SUMIF(gebouw,'9b-Vloeronderhoud'!A26,'4-Basis ruimtestaat'!M:M)</f>
        <v>7</v>
      </c>
      <c r="N26" s="598" t="e">
        <f t="shared" si="4"/>
        <v>#DIV/0!</v>
      </c>
      <c r="O26" s="603">
        <f t="shared" si="5"/>
        <v>0.5</v>
      </c>
      <c r="P26" s="598" t="e">
        <f t="shared" si="6"/>
        <v>#DIV/0!</v>
      </c>
      <c r="Q26" s="600" t="e">
        <f t="shared" si="7"/>
        <v>#DIV/0!</v>
      </c>
      <c r="R26" s="600" t="e">
        <f t="shared" si="8"/>
        <v>#DIV/0!</v>
      </c>
    </row>
    <row r="27" spans="1:18" s="409" customFormat="1">
      <c r="A27" s="576" t="str">
        <f>'2-Kosten per locatie'!A23</f>
        <v>De Steiger Groot</v>
      </c>
      <c r="B27" s="597">
        <f>SUMIF(gebouw,'9b-Vloeronderhoud'!A27,'4-Basis ruimtestaat'!K:K)</f>
        <v>1179.3000154495239</v>
      </c>
      <c r="C27" s="730" t="e">
        <f>SUMIF(gebouw,'9b-Vloeronderhoud'!A27,'4-Basis ruimtestaat'!O:O)</f>
        <v>#DIV/0!</v>
      </c>
      <c r="D27" s="600" t="e">
        <f t="shared" si="9"/>
        <v>#DIV/0!</v>
      </c>
      <c r="E27" s="730" t="e">
        <f t="shared" si="0"/>
        <v>#DIV/0!</v>
      </c>
      <c r="F27" s="599">
        <f t="shared" si="1"/>
        <v>1</v>
      </c>
      <c r="G27" s="597" t="e">
        <f t="shared" si="2"/>
        <v>#DIV/0!</v>
      </c>
      <c r="H27" s="600" t="e">
        <f t="shared" si="3"/>
        <v>#DIV/0!</v>
      </c>
      <c r="J27" s="598" t="e">
        <f>SUMIF(gebouw,'9b-Vloeronderhoud'!A27,'4-Basis ruimtestaat'!Q:Q)</f>
        <v>#DIV/0!</v>
      </c>
      <c r="K27" s="600" t="e">
        <f t="shared" si="10"/>
        <v>#DIV/0!</v>
      </c>
      <c r="M27" s="597">
        <f>SUMIF(gebouw,'9b-Vloeronderhoud'!A27,'4-Basis ruimtestaat'!M:M)</f>
        <v>89.049998998641968</v>
      </c>
      <c r="N27" s="598" t="e">
        <f t="shared" si="4"/>
        <v>#DIV/0!</v>
      </c>
      <c r="O27" s="603">
        <f t="shared" si="5"/>
        <v>0.5</v>
      </c>
      <c r="P27" s="598" t="e">
        <f t="shared" si="6"/>
        <v>#DIV/0!</v>
      </c>
      <c r="Q27" s="600" t="e">
        <f t="shared" si="7"/>
        <v>#DIV/0!</v>
      </c>
      <c r="R27" s="600" t="e">
        <f t="shared" si="8"/>
        <v>#DIV/0!</v>
      </c>
    </row>
    <row r="28" spans="1:18" s="409" customFormat="1">
      <c r="A28" s="576" t="str">
        <f>'2-Kosten per locatie'!A24</f>
        <v>De Steiger Klein</v>
      </c>
      <c r="B28" s="597">
        <f>SUMIF(gebouw,'9b-Vloeronderhoud'!A28,'4-Basis ruimtestaat'!K:K)</f>
        <v>0</v>
      </c>
      <c r="C28" s="730">
        <f>SUMIF(gebouw,'9b-Vloeronderhoud'!A28,'4-Basis ruimtestaat'!O:O)</f>
        <v>0</v>
      </c>
      <c r="D28" s="600">
        <f t="shared" si="9"/>
        <v>0</v>
      </c>
      <c r="E28" s="730" t="e">
        <f t="shared" si="0"/>
        <v>#DIV/0!</v>
      </c>
      <c r="F28" s="599">
        <f t="shared" si="1"/>
        <v>1</v>
      </c>
      <c r="G28" s="597" t="e">
        <f t="shared" si="2"/>
        <v>#DIV/0!</v>
      </c>
      <c r="H28" s="600" t="e">
        <f t="shared" si="3"/>
        <v>#DIV/0!</v>
      </c>
      <c r="J28" s="598" t="e">
        <f>SUMIF(gebouw,'9b-Vloeronderhoud'!A28,'4-Basis ruimtestaat'!Q:Q)</f>
        <v>#DIV/0!</v>
      </c>
      <c r="K28" s="600" t="e">
        <f t="shared" si="10"/>
        <v>#DIV/0!</v>
      </c>
      <c r="M28" s="597">
        <f>SUMIF(gebouw,'9b-Vloeronderhoud'!A28,'4-Basis ruimtestaat'!M:M)</f>
        <v>0</v>
      </c>
      <c r="N28" s="598" t="e">
        <f t="shared" si="4"/>
        <v>#DIV/0!</v>
      </c>
      <c r="O28" s="603">
        <f t="shared" si="5"/>
        <v>0.5</v>
      </c>
      <c r="P28" s="598" t="e">
        <f t="shared" si="6"/>
        <v>#DIV/0!</v>
      </c>
      <c r="Q28" s="600" t="e">
        <f t="shared" si="7"/>
        <v>#DIV/0!</v>
      </c>
      <c r="R28" s="600" t="e">
        <f t="shared" si="8"/>
        <v>#DIV/0!</v>
      </c>
    </row>
    <row r="29" spans="1:18" s="409" customFormat="1">
      <c r="A29" s="576" t="str">
        <f>'2-Kosten per locatie'!A25</f>
        <v xml:space="preserve">De Stelle </v>
      </c>
      <c r="B29" s="597">
        <f>SUMIF(gebouw,'9b-Vloeronderhoud'!A29,'4-Basis ruimtestaat'!K:K)</f>
        <v>0</v>
      </c>
      <c r="C29" s="730">
        <f>SUMIF(gebouw,'9b-Vloeronderhoud'!A29,'4-Basis ruimtestaat'!O:O)</f>
        <v>0</v>
      </c>
      <c r="D29" s="600">
        <f t="shared" si="9"/>
        <v>0</v>
      </c>
      <c r="E29" s="730" t="e">
        <f t="shared" si="0"/>
        <v>#DIV/0!</v>
      </c>
      <c r="F29" s="599">
        <f t="shared" si="1"/>
        <v>1</v>
      </c>
      <c r="G29" s="597" t="e">
        <f t="shared" si="2"/>
        <v>#DIV/0!</v>
      </c>
      <c r="H29" s="600" t="e">
        <f t="shared" si="3"/>
        <v>#DIV/0!</v>
      </c>
      <c r="J29" s="598" t="e">
        <f>SUMIF(gebouw,'9b-Vloeronderhoud'!A29,'4-Basis ruimtestaat'!Q:Q)</f>
        <v>#DIV/0!</v>
      </c>
      <c r="K29" s="600" t="e">
        <f t="shared" si="10"/>
        <v>#DIV/0!</v>
      </c>
      <c r="M29" s="597">
        <f>SUMIF(gebouw,'9b-Vloeronderhoud'!A29,'4-Basis ruimtestaat'!M:M)</f>
        <v>76.429999999999993</v>
      </c>
      <c r="N29" s="598" t="e">
        <f t="shared" si="4"/>
        <v>#DIV/0!</v>
      </c>
      <c r="O29" s="603">
        <f t="shared" si="5"/>
        <v>0.5</v>
      </c>
      <c r="P29" s="598" t="e">
        <f t="shared" si="6"/>
        <v>#DIV/0!</v>
      </c>
      <c r="Q29" s="600" t="e">
        <f t="shared" si="7"/>
        <v>#DIV/0!</v>
      </c>
      <c r="R29" s="600" t="e">
        <f t="shared" si="8"/>
        <v>#DIV/0!</v>
      </c>
    </row>
    <row r="30" spans="1:18" s="409" customFormat="1">
      <c r="A30" s="576" t="str">
        <f>'2-Kosten per locatie'!A26</f>
        <v>De Torenberg</v>
      </c>
      <c r="B30" s="597">
        <f>SUMIF(gebouw,'9b-Vloeronderhoud'!A30,'4-Basis ruimtestaat'!K:K)</f>
        <v>50.7</v>
      </c>
      <c r="C30" s="730">
        <f>SUMIF(gebouw,'9b-Vloeronderhoud'!A30,'4-Basis ruimtestaat'!O:O)</f>
        <v>0</v>
      </c>
      <c r="D30" s="600">
        <f t="shared" si="9"/>
        <v>0</v>
      </c>
      <c r="E30" s="730" t="e">
        <f t="shared" si="0"/>
        <v>#DIV/0!</v>
      </c>
      <c r="F30" s="599">
        <f t="shared" si="1"/>
        <v>1</v>
      </c>
      <c r="G30" s="597" t="e">
        <f t="shared" si="2"/>
        <v>#DIV/0!</v>
      </c>
      <c r="H30" s="600" t="e">
        <f t="shared" si="3"/>
        <v>#DIV/0!</v>
      </c>
      <c r="J30" s="598" t="e">
        <f>SUMIF(gebouw,'9b-Vloeronderhoud'!A30,'4-Basis ruimtestaat'!Q:Q)</f>
        <v>#DIV/0!</v>
      </c>
      <c r="K30" s="600" t="e">
        <f t="shared" si="10"/>
        <v>#DIV/0!</v>
      </c>
      <c r="M30" s="597">
        <f>SUMIF(gebouw,'9b-Vloeronderhoud'!A30,'4-Basis ruimtestaat'!M:M)</f>
        <v>143.1</v>
      </c>
      <c r="N30" s="598" t="e">
        <f t="shared" si="4"/>
        <v>#DIV/0!</v>
      </c>
      <c r="O30" s="603">
        <f t="shared" si="5"/>
        <v>0.5</v>
      </c>
      <c r="P30" s="598" t="e">
        <f t="shared" si="6"/>
        <v>#DIV/0!</v>
      </c>
      <c r="Q30" s="600" t="e">
        <f t="shared" si="7"/>
        <v>#DIV/0!</v>
      </c>
      <c r="R30" s="600" t="e">
        <f t="shared" si="8"/>
        <v>#DIV/0!</v>
      </c>
    </row>
    <row r="31" spans="1:18" s="409" customFormat="1">
      <c r="A31" s="576" t="str">
        <f>'2-Kosten per locatie'!A27</f>
        <v>De Twijn</v>
      </c>
      <c r="B31" s="597">
        <f>SUMIF(gebouw,'9b-Vloeronderhoud'!A31,'4-Basis ruimtestaat'!K:K)</f>
        <v>1068.0299997329712</v>
      </c>
      <c r="C31" s="730" t="e">
        <f>SUMIF(gebouw,'9b-Vloeronderhoud'!A31,'4-Basis ruimtestaat'!O:O)</f>
        <v>#DIV/0!</v>
      </c>
      <c r="D31" s="600" t="e">
        <f t="shared" si="9"/>
        <v>#DIV/0!</v>
      </c>
      <c r="E31" s="730" t="e">
        <f t="shared" si="0"/>
        <v>#DIV/0!</v>
      </c>
      <c r="F31" s="599">
        <f t="shared" si="1"/>
        <v>1</v>
      </c>
      <c r="G31" s="597" t="e">
        <f t="shared" si="2"/>
        <v>#DIV/0!</v>
      </c>
      <c r="H31" s="600" t="e">
        <f t="shared" si="3"/>
        <v>#DIV/0!</v>
      </c>
      <c r="J31" s="598" t="e">
        <f>SUMIF(gebouw,'9b-Vloeronderhoud'!A31,'4-Basis ruimtestaat'!Q:Q)</f>
        <v>#DIV/0!</v>
      </c>
      <c r="K31" s="600" t="e">
        <f t="shared" si="10"/>
        <v>#DIV/0!</v>
      </c>
      <c r="M31" s="597">
        <f>SUMIF(gebouw,'9b-Vloeronderhoud'!A31,'4-Basis ruimtestaat'!M:M)</f>
        <v>30.639999389648438</v>
      </c>
      <c r="N31" s="598" t="e">
        <f t="shared" si="4"/>
        <v>#DIV/0!</v>
      </c>
      <c r="O31" s="603">
        <f t="shared" si="5"/>
        <v>0.5</v>
      </c>
      <c r="P31" s="598" t="e">
        <f t="shared" si="6"/>
        <v>#DIV/0!</v>
      </c>
      <c r="Q31" s="600" t="e">
        <f t="shared" si="7"/>
        <v>#DIV/0!</v>
      </c>
      <c r="R31" s="600" t="e">
        <f t="shared" si="8"/>
        <v>#DIV/0!</v>
      </c>
    </row>
    <row r="32" spans="1:18" s="409" customFormat="1">
      <c r="A32" s="576" t="str">
        <f>'2-Kosten per locatie'!A28</f>
        <v>De Twijn gezamenlijke deel</v>
      </c>
      <c r="B32" s="597">
        <f>SUMIF(gebouw,'9b-Vloeronderhoud'!A32,'4-Basis ruimtestaat'!K:K)</f>
        <v>195.27000141143799</v>
      </c>
      <c r="C32" s="730" t="e">
        <f>SUMIF(gebouw,'9b-Vloeronderhoud'!A32,'4-Basis ruimtestaat'!O:O)</f>
        <v>#DIV/0!</v>
      </c>
      <c r="D32" s="600" t="e">
        <f t="shared" si="9"/>
        <v>#DIV/0!</v>
      </c>
      <c r="E32" s="730" t="e">
        <f t="shared" si="0"/>
        <v>#DIV/0!</v>
      </c>
      <c r="F32" s="599">
        <f t="shared" si="1"/>
        <v>1</v>
      </c>
      <c r="G32" s="597" t="e">
        <f t="shared" si="2"/>
        <v>#DIV/0!</v>
      </c>
      <c r="H32" s="600" t="e">
        <f t="shared" si="3"/>
        <v>#DIV/0!</v>
      </c>
      <c r="J32" s="598" t="e">
        <f>SUMIF(gebouw,'9b-Vloeronderhoud'!A32,'4-Basis ruimtestaat'!Q:Q)</f>
        <v>#DIV/0!</v>
      </c>
      <c r="K32" s="600" t="e">
        <f t="shared" si="10"/>
        <v>#DIV/0!</v>
      </c>
      <c r="M32" s="597">
        <f>SUMIF(gebouw,'9b-Vloeronderhoud'!A32,'4-Basis ruimtestaat'!M:M)</f>
        <v>0</v>
      </c>
      <c r="N32" s="598" t="e">
        <f t="shared" si="4"/>
        <v>#DIV/0!</v>
      </c>
      <c r="O32" s="603">
        <f t="shared" si="5"/>
        <v>0.5</v>
      </c>
      <c r="P32" s="598" t="e">
        <f t="shared" si="6"/>
        <v>#DIV/0!</v>
      </c>
      <c r="Q32" s="600" t="e">
        <f t="shared" si="7"/>
        <v>#DIV/0!</v>
      </c>
      <c r="R32" s="600" t="e">
        <f t="shared" si="8"/>
        <v>#DIV/0!</v>
      </c>
    </row>
    <row r="33" spans="1:18" s="409" customFormat="1">
      <c r="A33" s="576" t="str">
        <f>'2-Kosten per locatie'!A29</f>
        <v>De Vlaswiek</v>
      </c>
      <c r="B33" s="597">
        <f>SUMIF(gebouw,'9b-Vloeronderhoud'!A33,'4-Basis ruimtestaat'!K:K)</f>
        <v>477.5</v>
      </c>
      <c r="C33" s="730" t="e">
        <f>SUMIF(gebouw,'9b-Vloeronderhoud'!A33,'4-Basis ruimtestaat'!O:O)</f>
        <v>#DIV/0!</v>
      </c>
      <c r="D33" s="600" t="e">
        <f t="shared" si="9"/>
        <v>#DIV/0!</v>
      </c>
      <c r="E33" s="730" t="e">
        <f t="shared" si="0"/>
        <v>#DIV/0!</v>
      </c>
      <c r="F33" s="599">
        <f t="shared" si="1"/>
        <v>1</v>
      </c>
      <c r="G33" s="597" t="e">
        <f t="shared" si="2"/>
        <v>#DIV/0!</v>
      </c>
      <c r="H33" s="600" t="e">
        <f t="shared" si="3"/>
        <v>#DIV/0!</v>
      </c>
      <c r="J33" s="598" t="e">
        <f>SUMIF(gebouw,'9b-Vloeronderhoud'!A33,'4-Basis ruimtestaat'!Q:Q)</f>
        <v>#DIV/0!</v>
      </c>
      <c r="K33" s="600" t="e">
        <f t="shared" si="10"/>
        <v>#DIV/0!</v>
      </c>
      <c r="M33" s="597">
        <f>SUMIF(gebouw,'9b-Vloeronderhoud'!A33,'4-Basis ruimtestaat'!M:M)</f>
        <v>16</v>
      </c>
      <c r="N33" s="598" t="e">
        <f t="shared" si="4"/>
        <v>#DIV/0!</v>
      </c>
      <c r="O33" s="603">
        <f t="shared" si="5"/>
        <v>0.5</v>
      </c>
      <c r="P33" s="598" t="e">
        <f t="shared" si="6"/>
        <v>#DIV/0!</v>
      </c>
      <c r="Q33" s="600" t="e">
        <f t="shared" si="7"/>
        <v>#DIV/0!</v>
      </c>
      <c r="R33" s="600" t="e">
        <f t="shared" si="8"/>
        <v>#DIV/0!</v>
      </c>
    </row>
    <row r="34" spans="1:18" s="409" customFormat="1">
      <c r="A34" s="576" t="str">
        <f>'2-Kosten per locatie'!A30</f>
        <v>De Vlaswiek gymzaal</v>
      </c>
      <c r="B34" s="597">
        <f>SUMIF(gebouw,'9b-Vloeronderhoud'!A34,'4-Basis ruimtestaat'!K:K)</f>
        <v>0</v>
      </c>
      <c r="C34" s="730">
        <f>SUMIF(gebouw,'9b-Vloeronderhoud'!A34,'4-Basis ruimtestaat'!O:O)</f>
        <v>0</v>
      </c>
      <c r="D34" s="600">
        <f t="shared" si="9"/>
        <v>0</v>
      </c>
      <c r="E34" s="730" t="e">
        <f t="shared" si="0"/>
        <v>#DIV/0!</v>
      </c>
      <c r="F34" s="599">
        <f t="shared" si="1"/>
        <v>1</v>
      </c>
      <c r="G34" s="597" t="e">
        <f t="shared" si="2"/>
        <v>#DIV/0!</v>
      </c>
      <c r="H34" s="600" t="e">
        <f t="shared" si="3"/>
        <v>#DIV/0!</v>
      </c>
      <c r="J34" s="598" t="e">
        <f>SUMIF(gebouw,'9b-Vloeronderhoud'!A34,'4-Basis ruimtestaat'!Q:Q)</f>
        <v>#DIV/0!</v>
      </c>
      <c r="K34" s="600" t="e">
        <f t="shared" si="10"/>
        <v>#DIV/0!</v>
      </c>
      <c r="M34" s="597">
        <f>SUMIF(gebouw,'9b-Vloeronderhoud'!A34,'4-Basis ruimtestaat'!M:M)</f>
        <v>5</v>
      </c>
      <c r="N34" s="598" t="e">
        <f t="shared" si="4"/>
        <v>#DIV/0!</v>
      </c>
      <c r="O34" s="603">
        <f t="shared" si="5"/>
        <v>0.5</v>
      </c>
      <c r="P34" s="598" t="e">
        <f t="shared" si="6"/>
        <v>#DIV/0!</v>
      </c>
      <c r="Q34" s="600" t="e">
        <f t="shared" si="7"/>
        <v>#DIV/0!</v>
      </c>
      <c r="R34" s="600" t="e">
        <f t="shared" si="8"/>
        <v>#DIV/0!</v>
      </c>
    </row>
    <row r="35" spans="1:18" s="409" customFormat="1">
      <c r="A35" s="576" t="str">
        <f>'2-Kosten per locatie'!A31</f>
        <v>De Warande</v>
      </c>
      <c r="B35" s="597">
        <f>SUMIF(gebouw,'9b-Vloeronderhoud'!A35,'4-Basis ruimtestaat'!K:K)</f>
        <v>957.59999999999991</v>
      </c>
      <c r="C35" s="730" t="e">
        <f>SUMIF(gebouw,'9b-Vloeronderhoud'!A35,'4-Basis ruimtestaat'!O:O)</f>
        <v>#DIV/0!</v>
      </c>
      <c r="D35" s="600" t="e">
        <f t="shared" si="9"/>
        <v>#DIV/0!</v>
      </c>
      <c r="E35" s="730" t="e">
        <f t="shared" si="0"/>
        <v>#DIV/0!</v>
      </c>
      <c r="F35" s="599">
        <f t="shared" si="1"/>
        <v>1</v>
      </c>
      <c r="G35" s="597" t="e">
        <f t="shared" si="2"/>
        <v>#DIV/0!</v>
      </c>
      <c r="H35" s="600" t="e">
        <f t="shared" si="3"/>
        <v>#DIV/0!</v>
      </c>
      <c r="J35" s="598" t="e">
        <f>SUMIF(gebouw,'9b-Vloeronderhoud'!A35,'4-Basis ruimtestaat'!Q:Q)</f>
        <v>#DIV/0!</v>
      </c>
      <c r="K35" s="600" t="e">
        <f t="shared" si="10"/>
        <v>#DIV/0!</v>
      </c>
      <c r="M35" s="597">
        <f>SUMIF(gebouw,'9b-Vloeronderhoud'!A35,'4-Basis ruimtestaat'!M:M)</f>
        <v>167.9</v>
      </c>
      <c r="N35" s="598" t="e">
        <f t="shared" si="4"/>
        <v>#DIV/0!</v>
      </c>
      <c r="O35" s="603">
        <f t="shared" si="5"/>
        <v>0.5</v>
      </c>
      <c r="P35" s="598" t="e">
        <f t="shared" si="6"/>
        <v>#DIV/0!</v>
      </c>
      <c r="Q35" s="600" t="e">
        <f t="shared" si="7"/>
        <v>#DIV/0!</v>
      </c>
      <c r="R35" s="600" t="e">
        <f t="shared" si="8"/>
        <v>#DIV/0!</v>
      </c>
    </row>
    <row r="36" spans="1:18" s="409" customFormat="1">
      <c r="A36" s="576" t="str">
        <f>'2-Kosten per locatie'!A32</f>
        <v>De Wereldboom Sportlaan</v>
      </c>
      <c r="B36" s="597">
        <f>SUMIF(gebouw,'9b-Vloeronderhoud'!A36,'4-Basis ruimtestaat'!K:K)</f>
        <v>161.19999980926514</v>
      </c>
      <c r="C36" s="730" t="e">
        <f>SUMIF(gebouw,'9b-Vloeronderhoud'!A36,'4-Basis ruimtestaat'!O:O)</f>
        <v>#DIV/0!</v>
      </c>
      <c r="D36" s="600" t="e">
        <f t="shared" si="9"/>
        <v>#DIV/0!</v>
      </c>
      <c r="E36" s="730" t="e">
        <f t="shared" si="0"/>
        <v>#DIV/0!</v>
      </c>
      <c r="F36" s="599">
        <f t="shared" si="1"/>
        <v>1</v>
      </c>
      <c r="G36" s="597" t="e">
        <f t="shared" si="2"/>
        <v>#DIV/0!</v>
      </c>
      <c r="H36" s="600" t="e">
        <f t="shared" si="3"/>
        <v>#DIV/0!</v>
      </c>
      <c r="J36" s="598" t="e">
        <f>SUMIF(gebouw,'9b-Vloeronderhoud'!A36,'4-Basis ruimtestaat'!Q:Q)</f>
        <v>#DIV/0!</v>
      </c>
      <c r="K36" s="600" t="e">
        <f t="shared" si="10"/>
        <v>#DIV/0!</v>
      </c>
      <c r="M36" s="597">
        <f>SUMIF(gebouw,'9b-Vloeronderhoud'!A36,'4-Basis ruimtestaat'!M:M)</f>
        <v>508.80001282691956</v>
      </c>
      <c r="N36" s="598" t="e">
        <f t="shared" si="4"/>
        <v>#DIV/0!</v>
      </c>
      <c r="O36" s="603">
        <f t="shared" si="5"/>
        <v>0.5</v>
      </c>
      <c r="P36" s="598" t="e">
        <f t="shared" si="6"/>
        <v>#DIV/0!</v>
      </c>
      <c r="Q36" s="600" t="e">
        <f t="shared" si="7"/>
        <v>#DIV/0!</v>
      </c>
      <c r="R36" s="600" t="e">
        <f t="shared" si="8"/>
        <v>#DIV/0!</v>
      </c>
    </row>
    <row r="37" spans="1:18" s="409" customFormat="1">
      <c r="A37" s="576" t="str">
        <f>'2-Kosten per locatie'!A33</f>
        <v>De Wereldboom Tabakstraat</v>
      </c>
      <c r="B37" s="597">
        <f>SUMIF(gebouw,'9b-Vloeronderhoud'!A37,'4-Basis ruimtestaat'!K:K)</f>
        <v>180</v>
      </c>
      <c r="C37" s="730" t="e">
        <f>SUMIF(gebouw,'9b-Vloeronderhoud'!A37,'4-Basis ruimtestaat'!O:O)</f>
        <v>#DIV/0!</v>
      </c>
      <c r="D37" s="600" t="e">
        <f t="shared" si="9"/>
        <v>#DIV/0!</v>
      </c>
      <c r="E37" s="730" t="e">
        <f t="shared" si="0"/>
        <v>#DIV/0!</v>
      </c>
      <c r="F37" s="599">
        <f t="shared" si="1"/>
        <v>1</v>
      </c>
      <c r="G37" s="597" t="e">
        <f t="shared" si="2"/>
        <v>#DIV/0!</v>
      </c>
      <c r="H37" s="600" t="e">
        <f t="shared" si="3"/>
        <v>#DIV/0!</v>
      </c>
      <c r="J37" s="598" t="e">
        <f>SUMIF(gebouw,'9b-Vloeronderhoud'!A37,'4-Basis ruimtestaat'!Q:Q)</f>
        <v>#DIV/0!</v>
      </c>
      <c r="K37" s="600" t="e">
        <f t="shared" si="10"/>
        <v>#DIV/0!</v>
      </c>
      <c r="M37" s="597">
        <f>SUMIF(gebouw,'9b-Vloeronderhoud'!A37,'4-Basis ruimtestaat'!M:M)</f>
        <v>287.26999950408936</v>
      </c>
      <c r="N37" s="598" t="e">
        <f t="shared" si="4"/>
        <v>#DIV/0!</v>
      </c>
      <c r="O37" s="603">
        <f t="shared" si="5"/>
        <v>0.5</v>
      </c>
      <c r="P37" s="598" t="e">
        <f t="shared" si="6"/>
        <v>#DIV/0!</v>
      </c>
      <c r="Q37" s="600" t="e">
        <f t="shared" si="7"/>
        <v>#DIV/0!</v>
      </c>
      <c r="R37" s="600" t="e">
        <f t="shared" si="8"/>
        <v>#DIV/0!</v>
      </c>
    </row>
    <row r="38" spans="1:18" s="738" customFormat="1" ht="26.4">
      <c r="A38" s="733" t="str">
        <f>'2-Kosten per locatie'!A34</f>
        <v>Gemeenschappelijk deel Irisschool/parel</v>
      </c>
      <c r="B38" s="734">
        <f>SUMIF(gebouw,'9b-Vloeronderhoud'!A38,'4-Basis ruimtestaat'!K:K)</f>
        <v>817.45000028610229</v>
      </c>
      <c r="C38" s="735" t="e">
        <f>SUMIF(gebouw,'9b-Vloeronderhoud'!A38,'4-Basis ruimtestaat'!O:O)</f>
        <v>#DIV/0!</v>
      </c>
      <c r="D38" s="736" t="e">
        <f t="shared" si="9"/>
        <v>#DIV/0!</v>
      </c>
      <c r="E38" s="735" t="e">
        <f t="shared" si="0"/>
        <v>#DIV/0!</v>
      </c>
      <c r="F38" s="737">
        <f t="shared" si="1"/>
        <v>1</v>
      </c>
      <c r="G38" s="734" t="e">
        <f t="shared" si="2"/>
        <v>#DIV/0!</v>
      </c>
      <c r="H38" s="736" t="e">
        <f t="shared" si="3"/>
        <v>#DIV/0!</v>
      </c>
      <c r="J38" s="739" t="e">
        <f>SUMIF(gebouw,'9b-Vloeronderhoud'!A38,'4-Basis ruimtestaat'!Q:Q)</f>
        <v>#DIV/0!</v>
      </c>
      <c r="K38" s="736" t="e">
        <f t="shared" si="10"/>
        <v>#DIV/0!</v>
      </c>
      <c r="M38" s="734">
        <f>SUMIF(gebouw,'9b-Vloeronderhoud'!A38,'4-Basis ruimtestaat'!M:M)</f>
        <v>125.2</v>
      </c>
      <c r="N38" s="739" t="e">
        <f t="shared" si="4"/>
        <v>#DIV/0!</v>
      </c>
      <c r="O38" s="740">
        <f t="shared" si="5"/>
        <v>0.5</v>
      </c>
      <c r="P38" s="739" t="e">
        <f t="shared" si="6"/>
        <v>#DIV/0!</v>
      </c>
      <c r="Q38" s="736" t="e">
        <f t="shared" si="7"/>
        <v>#DIV/0!</v>
      </c>
      <c r="R38" s="736" t="e">
        <f t="shared" si="8"/>
        <v>#DIV/0!</v>
      </c>
    </row>
    <row r="39" spans="1:18" s="409" customFormat="1">
      <c r="A39" s="576" t="str">
        <f>'2-Kosten per locatie'!A35</f>
        <v>Gymzaal Irisschool/parel</v>
      </c>
      <c r="B39" s="597">
        <f>SUMIF(gebouw,'9b-Vloeronderhoud'!A39,'4-Basis ruimtestaat'!K:K)</f>
        <v>0</v>
      </c>
      <c r="C39" s="730">
        <f>SUMIF(gebouw,'9b-Vloeronderhoud'!A39,'4-Basis ruimtestaat'!O:O)</f>
        <v>0</v>
      </c>
      <c r="D39" s="600">
        <f t="shared" si="9"/>
        <v>0</v>
      </c>
      <c r="E39" s="730" t="e">
        <f t="shared" si="0"/>
        <v>#DIV/0!</v>
      </c>
      <c r="F39" s="599">
        <f t="shared" si="1"/>
        <v>1</v>
      </c>
      <c r="G39" s="597" t="e">
        <f t="shared" si="2"/>
        <v>#DIV/0!</v>
      </c>
      <c r="H39" s="600" t="e">
        <f t="shared" si="3"/>
        <v>#DIV/0!</v>
      </c>
      <c r="J39" s="598" t="e">
        <f>SUMIF(gebouw,'9b-Vloeronderhoud'!A39,'4-Basis ruimtestaat'!Q:Q)</f>
        <v>#DIV/0!</v>
      </c>
      <c r="K39" s="600" t="e">
        <f t="shared" si="10"/>
        <v>#DIV/0!</v>
      </c>
      <c r="M39" s="597">
        <f>SUMIF(gebouw,'9b-Vloeronderhoud'!A39,'4-Basis ruimtestaat'!M:M)</f>
        <v>0</v>
      </c>
      <c r="N39" s="598" t="e">
        <f t="shared" si="4"/>
        <v>#DIV/0!</v>
      </c>
      <c r="O39" s="603">
        <f t="shared" si="5"/>
        <v>0.5</v>
      </c>
      <c r="P39" s="598" t="e">
        <f t="shared" si="6"/>
        <v>#DIV/0!</v>
      </c>
      <c r="Q39" s="600" t="e">
        <f t="shared" si="7"/>
        <v>#DIV/0!</v>
      </c>
      <c r="R39" s="600" t="e">
        <f t="shared" si="8"/>
        <v>#DIV/0!</v>
      </c>
    </row>
    <row r="40" spans="1:18" s="409" customFormat="1">
      <c r="A40" s="576" t="str">
        <f>'2-Kosten per locatie'!A36</f>
        <v>Heidepoort</v>
      </c>
      <c r="B40" s="597">
        <f>SUMIF(gebouw,'9b-Vloeronderhoud'!A40,'4-Basis ruimtestaat'!K:K)</f>
        <v>319.24999570846558</v>
      </c>
      <c r="C40" s="730" t="e">
        <f>SUMIF(gebouw,'9b-Vloeronderhoud'!A40,'4-Basis ruimtestaat'!O:O)</f>
        <v>#DIV/0!</v>
      </c>
      <c r="D40" s="600" t="e">
        <f t="shared" si="9"/>
        <v>#DIV/0!</v>
      </c>
      <c r="E40" s="730" t="e">
        <f t="shared" si="0"/>
        <v>#DIV/0!</v>
      </c>
      <c r="F40" s="599">
        <f t="shared" si="1"/>
        <v>1</v>
      </c>
      <c r="G40" s="597" t="e">
        <f t="shared" si="2"/>
        <v>#DIV/0!</v>
      </c>
      <c r="H40" s="600" t="e">
        <f t="shared" si="3"/>
        <v>#DIV/0!</v>
      </c>
      <c r="J40" s="598" t="e">
        <f>SUMIF(gebouw,'9b-Vloeronderhoud'!A40,'4-Basis ruimtestaat'!Q:Q)</f>
        <v>#DIV/0!</v>
      </c>
      <c r="K40" s="600" t="e">
        <f t="shared" si="10"/>
        <v>#DIV/0!</v>
      </c>
      <c r="M40" s="597">
        <f>SUMIF(gebouw,'9b-Vloeronderhoud'!A40,'4-Basis ruimtestaat'!M:M)</f>
        <v>278.90000057220459</v>
      </c>
      <c r="N40" s="598" t="e">
        <f t="shared" si="4"/>
        <v>#DIV/0!</v>
      </c>
      <c r="O40" s="603">
        <f t="shared" si="5"/>
        <v>0.5</v>
      </c>
      <c r="P40" s="598" t="e">
        <f t="shared" si="6"/>
        <v>#DIV/0!</v>
      </c>
      <c r="Q40" s="600" t="e">
        <f t="shared" si="7"/>
        <v>#DIV/0!</v>
      </c>
      <c r="R40" s="600" t="e">
        <f t="shared" si="8"/>
        <v>#DIV/0!</v>
      </c>
    </row>
    <row r="41" spans="1:18" s="409" customFormat="1">
      <c r="A41" s="576" t="str">
        <f>'2-Kosten per locatie'!A37</f>
        <v>Inghelosenberghe</v>
      </c>
      <c r="B41" s="597">
        <f>SUMIF(gebouw,'9b-Vloeronderhoud'!A41,'4-Basis ruimtestaat'!K:K)</f>
        <v>0</v>
      </c>
      <c r="C41" s="730">
        <f>SUMIF(gebouw,'9b-Vloeronderhoud'!A41,'4-Basis ruimtestaat'!O:O)</f>
        <v>0</v>
      </c>
      <c r="D41" s="600">
        <f t="shared" si="9"/>
        <v>0</v>
      </c>
      <c r="E41" s="730" t="e">
        <f t="shared" si="0"/>
        <v>#DIV/0!</v>
      </c>
      <c r="F41" s="599">
        <f t="shared" si="1"/>
        <v>1</v>
      </c>
      <c r="G41" s="597" t="e">
        <f t="shared" si="2"/>
        <v>#DIV/0!</v>
      </c>
      <c r="H41" s="600" t="e">
        <f t="shared" si="3"/>
        <v>#DIV/0!</v>
      </c>
      <c r="J41" s="598" t="e">
        <f>SUMIF(gebouw,'9b-Vloeronderhoud'!A41,'4-Basis ruimtestaat'!Q:Q)</f>
        <v>#DIV/0!</v>
      </c>
      <c r="K41" s="600" t="e">
        <f t="shared" si="10"/>
        <v>#DIV/0!</v>
      </c>
      <c r="M41" s="597">
        <f>SUMIF(gebouw,'9b-Vloeronderhoud'!A41,'4-Basis ruimtestaat'!M:M)</f>
        <v>0</v>
      </c>
      <c r="N41" s="598" t="e">
        <f t="shared" si="4"/>
        <v>#DIV/0!</v>
      </c>
      <c r="O41" s="603">
        <f t="shared" si="5"/>
        <v>0.5</v>
      </c>
      <c r="P41" s="598" t="e">
        <f t="shared" si="6"/>
        <v>#DIV/0!</v>
      </c>
      <c r="Q41" s="600" t="e">
        <f t="shared" si="7"/>
        <v>#DIV/0!</v>
      </c>
      <c r="R41" s="600" t="e">
        <f t="shared" si="8"/>
        <v>#DIV/0!</v>
      </c>
    </row>
    <row r="42" spans="1:18" s="409" customFormat="1" ht="14.4" customHeight="1">
      <c r="A42" s="576" t="str">
        <f>'2-Kosten per locatie'!A38</f>
        <v>Inghelosenberghe kinderdagopvang</v>
      </c>
      <c r="B42" s="597">
        <f>SUMIF(gebouw,'9b-Vloeronderhoud'!A42,'4-Basis ruimtestaat'!K:K)</f>
        <v>0</v>
      </c>
      <c r="C42" s="730">
        <f>SUMIF(gebouw,'9b-Vloeronderhoud'!A42,'4-Basis ruimtestaat'!O:O)</f>
        <v>0</v>
      </c>
      <c r="D42" s="600">
        <f t="shared" si="9"/>
        <v>0</v>
      </c>
      <c r="E42" s="730" t="e">
        <f t="shared" si="0"/>
        <v>#DIV/0!</v>
      </c>
      <c r="F42" s="599">
        <f t="shared" si="1"/>
        <v>1</v>
      </c>
      <c r="G42" s="597" t="e">
        <f t="shared" si="2"/>
        <v>#DIV/0!</v>
      </c>
      <c r="H42" s="600" t="e">
        <f t="shared" si="3"/>
        <v>#DIV/0!</v>
      </c>
      <c r="J42" s="598" t="e">
        <f>SUMIF(gebouw,'9b-Vloeronderhoud'!A42,'4-Basis ruimtestaat'!Q:Q)</f>
        <v>#DIV/0!</v>
      </c>
      <c r="K42" s="600" t="e">
        <f t="shared" si="10"/>
        <v>#DIV/0!</v>
      </c>
      <c r="M42" s="597">
        <f>SUMIF(gebouw,'9b-Vloeronderhoud'!A42,'4-Basis ruimtestaat'!M:M)</f>
        <v>0</v>
      </c>
      <c r="N42" s="598" t="e">
        <f t="shared" si="4"/>
        <v>#DIV/0!</v>
      </c>
      <c r="O42" s="603">
        <f t="shared" si="5"/>
        <v>0.5</v>
      </c>
      <c r="P42" s="598" t="e">
        <f t="shared" si="6"/>
        <v>#DIV/0!</v>
      </c>
      <c r="Q42" s="600" t="e">
        <f t="shared" si="7"/>
        <v>#DIV/0!</v>
      </c>
      <c r="R42" s="600" t="e">
        <f t="shared" si="8"/>
        <v>#DIV/0!</v>
      </c>
    </row>
    <row r="43" spans="1:18" s="409" customFormat="1">
      <c r="A43" s="576" t="str">
        <f>'2-Kosten per locatie'!A39</f>
        <v>Laureyn</v>
      </c>
      <c r="B43" s="597">
        <f>SUMIF(gebouw,'9b-Vloeronderhoud'!A43,'4-Basis ruimtestaat'!K:K)</f>
        <v>0</v>
      </c>
      <c r="C43" s="730">
        <f>SUMIF(gebouw,'9b-Vloeronderhoud'!A43,'4-Basis ruimtestaat'!O:O)</f>
        <v>0</v>
      </c>
      <c r="D43" s="600">
        <f t="shared" si="9"/>
        <v>0</v>
      </c>
      <c r="E43" s="730" t="e">
        <f t="shared" si="0"/>
        <v>#DIV/0!</v>
      </c>
      <c r="F43" s="599">
        <f t="shared" si="1"/>
        <v>1</v>
      </c>
      <c r="G43" s="597" t="e">
        <f t="shared" si="2"/>
        <v>#DIV/0!</v>
      </c>
      <c r="H43" s="600" t="e">
        <f t="shared" si="3"/>
        <v>#DIV/0!</v>
      </c>
      <c r="J43" s="598" t="e">
        <f>SUMIF(gebouw,'9b-Vloeronderhoud'!A43,'4-Basis ruimtestaat'!Q:Q)</f>
        <v>#DIV/0!</v>
      </c>
      <c r="K43" s="600" t="e">
        <f t="shared" si="10"/>
        <v>#DIV/0!</v>
      </c>
      <c r="M43" s="597">
        <f>SUMIF(gebouw,'9b-Vloeronderhoud'!A43,'4-Basis ruimtestaat'!M:M)</f>
        <v>348.1</v>
      </c>
      <c r="N43" s="598" t="e">
        <f t="shared" si="4"/>
        <v>#DIV/0!</v>
      </c>
      <c r="O43" s="603">
        <f t="shared" si="5"/>
        <v>0.5</v>
      </c>
      <c r="P43" s="598" t="e">
        <f t="shared" si="6"/>
        <v>#DIV/0!</v>
      </c>
      <c r="Q43" s="600" t="e">
        <f t="shared" si="7"/>
        <v>#DIV/0!</v>
      </c>
      <c r="R43" s="600" t="e">
        <f t="shared" si="8"/>
        <v>#DIV/0!</v>
      </c>
    </row>
    <row r="44" spans="1:18" s="409" customFormat="1">
      <c r="A44" s="576" t="str">
        <f>'2-Kosten per locatie'!A40</f>
        <v>MFC Aardenburg</v>
      </c>
      <c r="B44" s="597">
        <f>SUMIF(gebouw,'9b-Vloeronderhoud'!A44,'4-Basis ruimtestaat'!K:K)</f>
        <v>0</v>
      </c>
      <c r="C44" s="730">
        <f>SUMIF(gebouw,'9b-Vloeronderhoud'!A44,'4-Basis ruimtestaat'!O:O)</f>
        <v>0</v>
      </c>
      <c r="D44" s="600">
        <f t="shared" si="9"/>
        <v>0</v>
      </c>
      <c r="E44" s="730" t="e">
        <f t="shared" si="0"/>
        <v>#DIV/0!</v>
      </c>
      <c r="F44" s="599">
        <f t="shared" si="1"/>
        <v>1</v>
      </c>
      <c r="G44" s="597" t="e">
        <f t="shared" si="2"/>
        <v>#DIV/0!</v>
      </c>
      <c r="H44" s="600" t="e">
        <f t="shared" si="3"/>
        <v>#DIV/0!</v>
      </c>
      <c r="J44" s="598" t="e">
        <f>SUMIF(gebouw,'9b-Vloeronderhoud'!A44,'4-Basis ruimtestaat'!Q:Q)</f>
        <v>#DIV/0!</v>
      </c>
      <c r="K44" s="600" t="e">
        <f t="shared" si="10"/>
        <v>#DIV/0!</v>
      </c>
      <c r="M44" s="597">
        <f>SUMIF(gebouw,'9b-Vloeronderhoud'!A44,'4-Basis ruimtestaat'!M:M)</f>
        <v>0</v>
      </c>
      <c r="N44" s="598" t="e">
        <f t="shared" si="4"/>
        <v>#DIV/0!</v>
      </c>
      <c r="O44" s="603">
        <f t="shared" si="5"/>
        <v>0.5</v>
      </c>
      <c r="P44" s="598" t="e">
        <f t="shared" si="6"/>
        <v>#DIV/0!</v>
      </c>
      <c r="Q44" s="600" t="e">
        <f t="shared" si="7"/>
        <v>#DIV/0!</v>
      </c>
      <c r="R44" s="600" t="e">
        <f t="shared" si="8"/>
        <v>#DIV/0!</v>
      </c>
    </row>
    <row r="45" spans="1:18" s="409" customFormat="1">
      <c r="A45" s="576" t="str">
        <f>'2-Kosten per locatie'!A41</f>
        <v>Moerschans</v>
      </c>
      <c r="B45" s="597">
        <f>SUMIF(gebouw,'9b-Vloeronderhoud'!A45,'4-Basis ruimtestaat'!K:K)</f>
        <v>924.5999999999998</v>
      </c>
      <c r="C45" s="730" t="e">
        <f>SUMIF(gebouw,'9b-Vloeronderhoud'!A45,'4-Basis ruimtestaat'!O:O)</f>
        <v>#DIV/0!</v>
      </c>
      <c r="D45" s="600" t="e">
        <f t="shared" si="9"/>
        <v>#DIV/0!</v>
      </c>
      <c r="E45" s="730" t="e">
        <f t="shared" si="0"/>
        <v>#DIV/0!</v>
      </c>
      <c r="F45" s="599">
        <f t="shared" si="1"/>
        <v>1</v>
      </c>
      <c r="G45" s="597" t="e">
        <f t="shared" si="2"/>
        <v>#DIV/0!</v>
      </c>
      <c r="H45" s="600" t="e">
        <f t="shared" si="3"/>
        <v>#DIV/0!</v>
      </c>
      <c r="J45" s="598" t="e">
        <f>SUMIF(gebouw,'9b-Vloeronderhoud'!A45,'4-Basis ruimtestaat'!Q:Q)</f>
        <v>#DIV/0!</v>
      </c>
      <c r="K45" s="600" t="e">
        <f t="shared" si="10"/>
        <v>#DIV/0!</v>
      </c>
      <c r="M45" s="597">
        <f>SUMIF(gebouw,'9b-Vloeronderhoud'!A45,'4-Basis ruimtestaat'!M:M)</f>
        <v>70.5</v>
      </c>
      <c r="N45" s="598" t="e">
        <f t="shared" si="4"/>
        <v>#DIV/0!</v>
      </c>
      <c r="O45" s="603">
        <f t="shared" si="5"/>
        <v>0.5</v>
      </c>
      <c r="P45" s="598" t="e">
        <f t="shared" si="6"/>
        <v>#DIV/0!</v>
      </c>
      <c r="Q45" s="600" t="e">
        <f t="shared" si="7"/>
        <v>#DIV/0!</v>
      </c>
      <c r="R45" s="600" t="e">
        <f t="shared" si="8"/>
        <v>#DIV/0!</v>
      </c>
    </row>
    <row r="46" spans="1:18" s="409" customFormat="1">
      <c r="A46" s="576" t="str">
        <f>'2-Kosten per locatie'!A42</f>
        <v>Nobelhorst</v>
      </c>
      <c r="B46" s="597">
        <f>SUMIF(gebouw,'9b-Vloeronderhoud'!A46,'4-Basis ruimtestaat'!K:K)</f>
        <v>639.40000000000009</v>
      </c>
      <c r="C46" s="730" t="e">
        <f>SUMIF(gebouw,'9b-Vloeronderhoud'!A46,'4-Basis ruimtestaat'!O:O)</f>
        <v>#DIV/0!</v>
      </c>
      <c r="D46" s="600" t="e">
        <f t="shared" si="9"/>
        <v>#DIV/0!</v>
      </c>
      <c r="E46" s="730" t="e">
        <f t="shared" si="0"/>
        <v>#DIV/0!</v>
      </c>
      <c r="F46" s="599">
        <f t="shared" si="1"/>
        <v>1</v>
      </c>
      <c r="G46" s="597" t="e">
        <f t="shared" si="2"/>
        <v>#DIV/0!</v>
      </c>
      <c r="H46" s="600" t="e">
        <f t="shared" si="3"/>
        <v>#DIV/0!</v>
      </c>
      <c r="J46" s="598" t="e">
        <f>SUMIF(gebouw,'9b-Vloeronderhoud'!A46,'4-Basis ruimtestaat'!Q:Q)</f>
        <v>#DIV/0!</v>
      </c>
      <c r="K46" s="600" t="e">
        <f t="shared" si="10"/>
        <v>#DIV/0!</v>
      </c>
      <c r="M46" s="597">
        <f>SUMIF(gebouw,'9b-Vloeronderhoud'!A46,'4-Basis ruimtestaat'!M:M)</f>
        <v>100.7</v>
      </c>
      <c r="N46" s="598" t="e">
        <f t="shared" si="4"/>
        <v>#DIV/0!</v>
      </c>
      <c r="O46" s="603">
        <f t="shared" si="5"/>
        <v>0.5</v>
      </c>
      <c r="P46" s="598" t="e">
        <f t="shared" si="6"/>
        <v>#DIV/0!</v>
      </c>
      <c r="Q46" s="600" t="e">
        <f t="shared" si="7"/>
        <v>#DIV/0!</v>
      </c>
      <c r="R46" s="600" t="e">
        <f t="shared" si="8"/>
        <v>#DIV/0!</v>
      </c>
    </row>
    <row r="47" spans="1:18" s="409" customFormat="1">
      <c r="A47" s="576" t="str">
        <f>'2-Kosten per locatie'!A43</f>
        <v xml:space="preserve">Op Dreef </v>
      </c>
      <c r="B47" s="597">
        <f>SUMIF(gebouw,'9b-Vloeronderhoud'!A47,'4-Basis ruimtestaat'!K:K)</f>
        <v>0</v>
      </c>
      <c r="C47" s="730">
        <f>SUMIF(gebouw,'9b-Vloeronderhoud'!A47,'4-Basis ruimtestaat'!O:O)</f>
        <v>0</v>
      </c>
      <c r="D47" s="600">
        <f t="shared" si="9"/>
        <v>0</v>
      </c>
      <c r="E47" s="730" t="e">
        <f t="shared" si="0"/>
        <v>#DIV/0!</v>
      </c>
      <c r="F47" s="599">
        <f t="shared" si="1"/>
        <v>1</v>
      </c>
      <c r="G47" s="597" t="e">
        <f t="shared" si="2"/>
        <v>#DIV/0!</v>
      </c>
      <c r="H47" s="600" t="e">
        <f t="shared" si="3"/>
        <v>#DIV/0!</v>
      </c>
      <c r="J47" s="598" t="e">
        <f>SUMIF(gebouw,'9b-Vloeronderhoud'!A47,'4-Basis ruimtestaat'!Q:Q)</f>
        <v>#DIV/0!</v>
      </c>
      <c r="K47" s="600" t="e">
        <f t="shared" si="10"/>
        <v>#DIV/0!</v>
      </c>
      <c r="M47" s="597">
        <f>SUMIF(gebouw,'9b-Vloeronderhoud'!A47,'4-Basis ruimtestaat'!M:M)</f>
        <v>0</v>
      </c>
      <c r="N47" s="598" t="e">
        <f t="shared" si="4"/>
        <v>#DIV/0!</v>
      </c>
      <c r="O47" s="603">
        <f t="shared" si="5"/>
        <v>0.5</v>
      </c>
      <c r="P47" s="598" t="e">
        <f t="shared" si="6"/>
        <v>#DIV/0!</v>
      </c>
      <c r="Q47" s="600" t="e">
        <f t="shared" si="7"/>
        <v>#DIV/0!</v>
      </c>
      <c r="R47" s="600" t="e">
        <f t="shared" si="8"/>
        <v>#DIV/0!</v>
      </c>
    </row>
    <row r="48" spans="1:18" s="409" customFormat="1">
      <c r="A48" s="576" t="str">
        <f>'2-Kosten per locatie'!A44</f>
        <v>Pr.W.v.Oranjeschool</v>
      </c>
      <c r="B48" s="597">
        <f>SUMIF(gebouw,'9b-Vloeronderhoud'!A48,'4-Basis ruimtestaat'!K:K)</f>
        <v>68.900000000000006</v>
      </c>
      <c r="C48" s="730">
        <f>SUMIF(gebouw,'9b-Vloeronderhoud'!A48,'4-Basis ruimtestaat'!O:O)</f>
        <v>0</v>
      </c>
      <c r="D48" s="600">
        <f t="shared" si="9"/>
        <v>0</v>
      </c>
      <c r="E48" s="730" t="e">
        <f t="shared" si="0"/>
        <v>#DIV/0!</v>
      </c>
      <c r="F48" s="599">
        <f t="shared" si="1"/>
        <v>1</v>
      </c>
      <c r="G48" s="597" t="e">
        <f t="shared" si="2"/>
        <v>#DIV/0!</v>
      </c>
      <c r="H48" s="600" t="e">
        <f t="shared" si="3"/>
        <v>#DIV/0!</v>
      </c>
      <c r="J48" s="598" t="e">
        <f>SUMIF(gebouw,'9b-Vloeronderhoud'!A48,'4-Basis ruimtestaat'!Q:Q)</f>
        <v>#DIV/0!</v>
      </c>
      <c r="K48" s="600" t="e">
        <f t="shared" si="10"/>
        <v>#DIV/0!</v>
      </c>
      <c r="M48" s="597">
        <f>SUMIF(gebouw,'9b-Vloeronderhoud'!A48,'4-Basis ruimtestaat'!M:M)</f>
        <v>1194.8999999999999</v>
      </c>
      <c r="N48" s="598" t="e">
        <f t="shared" si="4"/>
        <v>#DIV/0!</v>
      </c>
      <c r="O48" s="603">
        <f t="shared" si="5"/>
        <v>0.5</v>
      </c>
      <c r="P48" s="598" t="e">
        <f t="shared" si="6"/>
        <v>#DIV/0!</v>
      </c>
      <c r="Q48" s="600" t="e">
        <f t="shared" si="7"/>
        <v>#DIV/0!</v>
      </c>
      <c r="R48" s="600" t="e">
        <f t="shared" si="8"/>
        <v>#DIV/0!</v>
      </c>
    </row>
    <row r="49" spans="1:21" s="409" customFormat="1">
      <c r="A49" s="576" t="str">
        <f>'2-Kosten per locatie'!A45</f>
        <v>Prinses Marijke</v>
      </c>
      <c r="B49" s="597">
        <f>SUMIF(gebouw,'9b-Vloeronderhoud'!A49,'4-Basis ruimtestaat'!K:K)</f>
        <v>934.6500186920166</v>
      </c>
      <c r="C49" s="730" t="e">
        <f>SUMIF(gebouw,'9b-Vloeronderhoud'!A49,'4-Basis ruimtestaat'!O:O)</f>
        <v>#DIV/0!</v>
      </c>
      <c r="D49" s="600" t="e">
        <f t="shared" si="9"/>
        <v>#DIV/0!</v>
      </c>
      <c r="E49" s="730" t="e">
        <f t="shared" si="0"/>
        <v>#DIV/0!</v>
      </c>
      <c r="F49" s="599">
        <f t="shared" si="1"/>
        <v>1</v>
      </c>
      <c r="G49" s="597" t="e">
        <f t="shared" si="2"/>
        <v>#DIV/0!</v>
      </c>
      <c r="H49" s="600" t="e">
        <f t="shared" si="3"/>
        <v>#DIV/0!</v>
      </c>
      <c r="J49" s="598" t="e">
        <f>SUMIF(gebouw,'9b-Vloeronderhoud'!A49,'4-Basis ruimtestaat'!Q:Q)</f>
        <v>#DIV/0!</v>
      </c>
      <c r="K49" s="600" t="e">
        <f t="shared" si="10"/>
        <v>#DIV/0!</v>
      </c>
      <c r="M49" s="597">
        <f>SUMIF(gebouw,'9b-Vloeronderhoud'!A49,'4-Basis ruimtestaat'!M:M)</f>
        <v>90.149999809265125</v>
      </c>
      <c r="N49" s="598" t="e">
        <f t="shared" si="4"/>
        <v>#DIV/0!</v>
      </c>
      <c r="O49" s="603">
        <f t="shared" si="5"/>
        <v>0.5</v>
      </c>
      <c r="P49" s="598" t="e">
        <f t="shared" si="6"/>
        <v>#DIV/0!</v>
      </c>
      <c r="Q49" s="600" t="e">
        <f t="shared" si="7"/>
        <v>#DIV/0!</v>
      </c>
      <c r="R49" s="600" t="e">
        <f t="shared" si="8"/>
        <v>#DIV/0!</v>
      </c>
    </row>
    <row r="50" spans="1:21" s="409" customFormat="1">
      <c r="A50" s="576" t="str">
        <f>'2-Kosten per locatie'!A46</f>
        <v>St. Antoniusschool</v>
      </c>
      <c r="B50" s="597">
        <f>SUMIF(gebouw,'9b-Vloeronderhoud'!A50,'4-Basis ruimtestaat'!K:K)</f>
        <v>975.04999971389771</v>
      </c>
      <c r="C50" s="730" t="e">
        <f>SUMIF(gebouw,'9b-Vloeronderhoud'!A50,'4-Basis ruimtestaat'!O:O)</f>
        <v>#DIV/0!</v>
      </c>
      <c r="D50" s="600" t="e">
        <f t="shared" si="9"/>
        <v>#DIV/0!</v>
      </c>
      <c r="E50" s="730" t="e">
        <f t="shared" si="0"/>
        <v>#DIV/0!</v>
      </c>
      <c r="F50" s="599">
        <f t="shared" si="1"/>
        <v>1</v>
      </c>
      <c r="G50" s="597" t="e">
        <f t="shared" si="2"/>
        <v>#DIV/0!</v>
      </c>
      <c r="H50" s="600" t="e">
        <f t="shared" si="3"/>
        <v>#DIV/0!</v>
      </c>
      <c r="J50" s="598" t="e">
        <f>SUMIF(gebouw,'9b-Vloeronderhoud'!A50,'4-Basis ruimtestaat'!Q:Q)</f>
        <v>#DIV/0!</v>
      </c>
      <c r="K50" s="600" t="e">
        <f t="shared" si="10"/>
        <v>#DIV/0!</v>
      </c>
      <c r="M50" s="597">
        <f>SUMIF(gebouw,'9b-Vloeronderhoud'!A50,'4-Basis ruimtestaat'!M:M)</f>
        <v>26</v>
      </c>
      <c r="N50" s="598" t="e">
        <f t="shared" si="4"/>
        <v>#DIV/0!</v>
      </c>
      <c r="O50" s="603">
        <f t="shared" si="5"/>
        <v>0.5</v>
      </c>
      <c r="P50" s="598" t="e">
        <f t="shared" si="6"/>
        <v>#DIV/0!</v>
      </c>
      <c r="Q50" s="600" t="e">
        <f t="shared" si="7"/>
        <v>#DIV/0!</v>
      </c>
      <c r="R50" s="600" t="e">
        <f t="shared" si="8"/>
        <v>#DIV/0!</v>
      </c>
    </row>
    <row r="51" spans="1:21" s="409" customFormat="1">
      <c r="A51" s="576" t="str">
        <f>'2-Kosten per locatie'!A47</f>
        <v>St. Bernardus</v>
      </c>
      <c r="B51" s="597">
        <f>SUMIF(gebouw,'9b-Vloeronderhoud'!A51,'4-Basis ruimtestaat'!K:K)</f>
        <v>641.35001063346863</v>
      </c>
      <c r="C51" s="730" t="e">
        <f>SUMIF(gebouw,'9b-Vloeronderhoud'!A51,'4-Basis ruimtestaat'!O:O)</f>
        <v>#DIV/0!</v>
      </c>
      <c r="D51" s="600" t="e">
        <f t="shared" si="9"/>
        <v>#DIV/0!</v>
      </c>
      <c r="E51" s="730" t="e">
        <f t="shared" si="0"/>
        <v>#DIV/0!</v>
      </c>
      <c r="F51" s="599">
        <f t="shared" si="1"/>
        <v>1</v>
      </c>
      <c r="G51" s="597" t="e">
        <f t="shared" si="2"/>
        <v>#DIV/0!</v>
      </c>
      <c r="H51" s="600" t="e">
        <f t="shared" si="3"/>
        <v>#DIV/0!</v>
      </c>
      <c r="J51" s="598" t="e">
        <f>SUMIF(gebouw,'9b-Vloeronderhoud'!A51,'4-Basis ruimtestaat'!Q:Q)</f>
        <v>#DIV/0!</v>
      </c>
      <c r="K51" s="600" t="e">
        <f t="shared" si="10"/>
        <v>#DIV/0!</v>
      </c>
      <c r="M51" s="597">
        <f>SUMIF(gebouw,'9b-Vloeronderhoud'!A51,'4-Basis ruimtestaat'!M:M)</f>
        <v>92.950000286102295</v>
      </c>
      <c r="N51" s="598" t="e">
        <f t="shared" si="4"/>
        <v>#DIV/0!</v>
      </c>
      <c r="O51" s="603">
        <f t="shared" si="5"/>
        <v>0.5</v>
      </c>
      <c r="P51" s="598" t="e">
        <f t="shared" si="6"/>
        <v>#DIV/0!</v>
      </c>
      <c r="Q51" s="600" t="e">
        <f t="shared" si="7"/>
        <v>#DIV/0!</v>
      </c>
      <c r="R51" s="600" t="e">
        <f t="shared" si="8"/>
        <v>#DIV/0!</v>
      </c>
    </row>
    <row r="52" spans="1:21" s="409" customFormat="1">
      <c r="A52" s="576" t="str">
        <f>'2-Kosten per locatie'!A48</f>
        <v>St. Jozef Eede</v>
      </c>
      <c r="B52" s="597">
        <f>SUMIF(gebouw,'9b-Vloeronderhoud'!A52,'4-Basis ruimtestaat'!K:K)</f>
        <v>580.1</v>
      </c>
      <c r="C52" s="730" t="e">
        <f>SUMIF(gebouw,'9b-Vloeronderhoud'!A52,'4-Basis ruimtestaat'!O:O)</f>
        <v>#DIV/0!</v>
      </c>
      <c r="D52" s="600" t="e">
        <f t="shared" si="9"/>
        <v>#DIV/0!</v>
      </c>
      <c r="E52" s="730" t="e">
        <f t="shared" si="0"/>
        <v>#DIV/0!</v>
      </c>
      <c r="F52" s="599">
        <f t="shared" si="1"/>
        <v>1</v>
      </c>
      <c r="G52" s="597" t="e">
        <f t="shared" si="2"/>
        <v>#DIV/0!</v>
      </c>
      <c r="H52" s="600" t="e">
        <f t="shared" si="3"/>
        <v>#DIV/0!</v>
      </c>
      <c r="J52" s="598" t="e">
        <f>SUMIF(gebouw,'9b-Vloeronderhoud'!A52,'4-Basis ruimtestaat'!Q:Q)</f>
        <v>#DIV/0!</v>
      </c>
      <c r="K52" s="600" t="e">
        <f t="shared" si="10"/>
        <v>#DIV/0!</v>
      </c>
      <c r="M52" s="597">
        <f>SUMIF(gebouw,'9b-Vloeronderhoud'!A52,'4-Basis ruimtestaat'!M:M)</f>
        <v>0</v>
      </c>
      <c r="N52" s="598" t="e">
        <f t="shared" si="4"/>
        <v>#DIV/0!</v>
      </c>
      <c r="O52" s="603">
        <f t="shared" si="5"/>
        <v>0.5</v>
      </c>
      <c r="P52" s="598" t="e">
        <f t="shared" si="6"/>
        <v>#DIV/0!</v>
      </c>
      <c r="Q52" s="600" t="e">
        <f t="shared" si="7"/>
        <v>#DIV/0!</v>
      </c>
      <c r="R52" s="600" t="e">
        <f t="shared" si="8"/>
        <v>#DIV/0!</v>
      </c>
    </row>
    <row r="53" spans="1:21" s="409" customFormat="1">
      <c r="A53" s="576" t="str">
        <f>'2-Kosten per locatie'!A49</f>
        <v>St. Jozef Nieuw Namen</v>
      </c>
      <c r="B53" s="597">
        <f>SUMIF(gebouw,'9b-Vloeronderhoud'!A53,'4-Basis ruimtestaat'!K:K)</f>
        <v>396.20000076293945</v>
      </c>
      <c r="C53" s="730" t="e">
        <f>SUMIF(gebouw,'9b-Vloeronderhoud'!A53,'4-Basis ruimtestaat'!O:O)</f>
        <v>#DIV/0!</v>
      </c>
      <c r="D53" s="600" t="e">
        <f t="shared" si="9"/>
        <v>#DIV/0!</v>
      </c>
      <c r="E53" s="730" t="e">
        <f t="shared" si="0"/>
        <v>#DIV/0!</v>
      </c>
      <c r="F53" s="599">
        <f t="shared" si="1"/>
        <v>1</v>
      </c>
      <c r="G53" s="597" t="e">
        <f t="shared" si="2"/>
        <v>#DIV/0!</v>
      </c>
      <c r="H53" s="600" t="e">
        <f t="shared" si="3"/>
        <v>#DIV/0!</v>
      </c>
      <c r="J53" s="598" t="e">
        <f>SUMIF(gebouw,'9b-Vloeronderhoud'!A53,'4-Basis ruimtestaat'!Q:Q)</f>
        <v>#DIV/0!</v>
      </c>
      <c r="K53" s="600" t="e">
        <f t="shared" si="10"/>
        <v>#DIV/0!</v>
      </c>
      <c r="M53" s="597">
        <f>SUMIF(gebouw,'9b-Vloeronderhoud'!A53,'4-Basis ruimtestaat'!M:M)</f>
        <v>46.500000238418579</v>
      </c>
      <c r="N53" s="598" t="e">
        <f t="shared" si="4"/>
        <v>#DIV/0!</v>
      </c>
      <c r="O53" s="603">
        <f t="shared" si="5"/>
        <v>0.5</v>
      </c>
      <c r="P53" s="598" t="e">
        <f t="shared" si="6"/>
        <v>#DIV/0!</v>
      </c>
      <c r="Q53" s="600" t="e">
        <f t="shared" si="7"/>
        <v>#DIV/0!</v>
      </c>
      <c r="R53" s="600" t="e">
        <f t="shared" si="8"/>
        <v>#DIV/0!</v>
      </c>
    </row>
    <row r="54" spans="1:21" s="409" customFormat="1">
      <c r="A54" s="576" t="str">
        <f>'2-Kosten per locatie'!A50</f>
        <v>St. Willibrordus</v>
      </c>
      <c r="B54" s="597">
        <f>SUMIF(gebouw,'9b-Vloeronderhoud'!A54,'4-Basis ruimtestaat'!K:K)</f>
        <v>0</v>
      </c>
      <c r="C54" s="730">
        <f>SUMIF(gebouw,'9b-Vloeronderhoud'!A54,'4-Basis ruimtestaat'!O:O)</f>
        <v>0</v>
      </c>
      <c r="D54" s="600">
        <f t="shared" si="9"/>
        <v>0</v>
      </c>
      <c r="E54" s="730" t="e">
        <f t="shared" si="0"/>
        <v>#DIV/0!</v>
      </c>
      <c r="F54" s="599">
        <f t="shared" si="1"/>
        <v>1</v>
      </c>
      <c r="G54" s="597" t="e">
        <f t="shared" si="2"/>
        <v>#DIV/0!</v>
      </c>
      <c r="H54" s="600" t="e">
        <f t="shared" si="3"/>
        <v>#DIV/0!</v>
      </c>
      <c r="J54" s="598" t="e">
        <f>SUMIF(gebouw,'9b-Vloeronderhoud'!A54,'4-Basis ruimtestaat'!Q:Q)</f>
        <v>#DIV/0!</v>
      </c>
      <c r="K54" s="600" t="e">
        <f t="shared" si="10"/>
        <v>#DIV/0!</v>
      </c>
      <c r="M54" s="597">
        <f>SUMIF(gebouw,'9b-Vloeronderhoud'!A54,'4-Basis ruimtestaat'!M:M)</f>
        <v>0</v>
      </c>
      <c r="N54" s="598" t="e">
        <f t="shared" si="4"/>
        <v>#DIV/0!</v>
      </c>
      <c r="O54" s="603">
        <f t="shared" si="5"/>
        <v>0.5</v>
      </c>
      <c r="P54" s="598" t="e">
        <f t="shared" si="6"/>
        <v>#DIV/0!</v>
      </c>
      <c r="Q54" s="600" t="e">
        <f t="shared" si="7"/>
        <v>#DIV/0!</v>
      </c>
      <c r="R54" s="600" t="e">
        <f t="shared" si="8"/>
        <v>#DIV/0!</v>
      </c>
    </row>
    <row r="55" spans="1:21" s="409" customFormat="1">
      <c r="A55" s="576" t="str">
        <f>'2-Kosten per locatie'!A51</f>
        <v>t Getij</v>
      </c>
      <c r="B55" s="597">
        <f>SUMIF(gebouw,'9b-Vloeronderhoud'!A55,'4-Basis ruimtestaat'!K:K)</f>
        <v>777.69999980926514</v>
      </c>
      <c r="C55" s="730" t="e">
        <f>SUMIF(gebouw,'9b-Vloeronderhoud'!A55,'4-Basis ruimtestaat'!O:O)</f>
        <v>#DIV/0!</v>
      </c>
      <c r="D55" s="600" t="e">
        <f t="shared" si="9"/>
        <v>#DIV/0!</v>
      </c>
      <c r="E55" s="730" t="e">
        <f t="shared" si="0"/>
        <v>#DIV/0!</v>
      </c>
      <c r="F55" s="599">
        <f t="shared" si="1"/>
        <v>1</v>
      </c>
      <c r="G55" s="597" t="e">
        <f t="shared" si="2"/>
        <v>#DIV/0!</v>
      </c>
      <c r="H55" s="600" t="e">
        <f t="shared" si="3"/>
        <v>#DIV/0!</v>
      </c>
      <c r="J55" s="598" t="e">
        <f>SUMIF(gebouw,'9b-Vloeronderhoud'!A55,'4-Basis ruimtestaat'!Q:Q)</f>
        <v>#DIV/0!</v>
      </c>
      <c r="K55" s="600" t="e">
        <f t="shared" si="10"/>
        <v>#DIV/0!</v>
      </c>
      <c r="M55" s="597">
        <f>SUMIF(gebouw,'9b-Vloeronderhoud'!A55,'4-Basis ruimtestaat'!M:M)</f>
        <v>100.84999990463257</v>
      </c>
      <c r="N55" s="598" t="e">
        <f t="shared" si="4"/>
        <v>#DIV/0!</v>
      </c>
      <c r="O55" s="603">
        <f t="shared" si="5"/>
        <v>0.5</v>
      </c>
      <c r="P55" s="598" t="e">
        <f t="shared" si="6"/>
        <v>#DIV/0!</v>
      </c>
      <c r="Q55" s="600" t="e">
        <f t="shared" si="7"/>
        <v>#DIV/0!</v>
      </c>
      <c r="R55" s="600" t="e">
        <f t="shared" si="8"/>
        <v>#DIV/0!</v>
      </c>
    </row>
    <row r="56" spans="1:21" s="409" customFormat="1">
      <c r="A56" s="576" t="str">
        <f>'2-Kosten per locatie'!A52</f>
        <v xml:space="preserve">t Geuzennest </v>
      </c>
      <c r="B56" s="597">
        <f>SUMIF(gebouw,'9b-Vloeronderhoud'!A56,'4-Basis ruimtestaat'!K:K)</f>
        <v>280</v>
      </c>
      <c r="C56" s="730" t="e">
        <f>SUMIF(gebouw,'9b-Vloeronderhoud'!A56,'4-Basis ruimtestaat'!O:O)</f>
        <v>#DIV/0!</v>
      </c>
      <c r="D56" s="600" t="e">
        <f t="shared" si="9"/>
        <v>#DIV/0!</v>
      </c>
      <c r="E56" s="730" t="e">
        <f t="shared" si="0"/>
        <v>#DIV/0!</v>
      </c>
      <c r="F56" s="599">
        <f t="shared" si="1"/>
        <v>1</v>
      </c>
      <c r="G56" s="597" t="e">
        <f t="shared" si="2"/>
        <v>#DIV/0!</v>
      </c>
      <c r="H56" s="600" t="e">
        <f t="shared" si="3"/>
        <v>#DIV/0!</v>
      </c>
      <c r="J56" s="598" t="e">
        <f>SUMIF(gebouw,'9b-Vloeronderhoud'!A56,'4-Basis ruimtestaat'!Q:Q)</f>
        <v>#DIV/0!</v>
      </c>
      <c r="K56" s="600" t="e">
        <f t="shared" si="10"/>
        <v>#DIV/0!</v>
      </c>
      <c r="M56" s="597">
        <f>SUMIF(gebouw,'9b-Vloeronderhoud'!A56,'4-Basis ruimtestaat'!M:M)</f>
        <v>405.84999990463257</v>
      </c>
      <c r="N56" s="598" t="e">
        <f t="shared" si="4"/>
        <v>#DIV/0!</v>
      </c>
      <c r="O56" s="603">
        <f t="shared" si="5"/>
        <v>0.5</v>
      </c>
      <c r="P56" s="598" t="e">
        <f t="shared" si="6"/>
        <v>#DIV/0!</v>
      </c>
      <c r="Q56" s="600" t="e">
        <f t="shared" si="7"/>
        <v>#DIV/0!</v>
      </c>
      <c r="R56" s="600" t="e">
        <f t="shared" si="8"/>
        <v>#DIV/0!</v>
      </c>
    </row>
    <row r="57" spans="1:21" s="409" customFormat="1">
      <c r="A57" s="576" t="str">
        <f>'2-Kosten per locatie'!A53</f>
        <v>t Mozaïek</v>
      </c>
      <c r="B57" s="597">
        <f>SUMIF(gebouw,'9b-Vloeronderhoud'!A57,'4-Basis ruimtestaat'!K:K)</f>
        <v>532.24999141693115</v>
      </c>
      <c r="C57" s="730" t="e">
        <f>SUMIF(gebouw,'9b-Vloeronderhoud'!A57,'4-Basis ruimtestaat'!O:O)</f>
        <v>#DIV/0!</v>
      </c>
      <c r="D57" s="600" t="e">
        <f t="shared" si="9"/>
        <v>#DIV/0!</v>
      </c>
      <c r="E57" s="730" t="e">
        <f t="shared" si="0"/>
        <v>#DIV/0!</v>
      </c>
      <c r="F57" s="599">
        <f t="shared" si="1"/>
        <v>1</v>
      </c>
      <c r="G57" s="597" t="e">
        <f t="shared" si="2"/>
        <v>#DIV/0!</v>
      </c>
      <c r="H57" s="600" t="e">
        <f t="shared" si="3"/>
        <v>#DIV/0!</v>
      </c>
      <c r="J57" s="598" t="e">
        <f>SUMIF(gebouw,'9b-Vloeronderhoud'!A57,'4-Basis ruimtestaat'!Q:Q)</f>
        <v>#DIV/0!</v>
      </c>
      <c r="K57" s="600" t="e">
        <f t="shared" si="10"/>
        <v>#DIV/0!</v>
      </c>
      <c r="M57" s="597">
        <f>SUMIF(gebouw,'9b-Vloeronderhoud'!A57,'4-Basis ruimtestaat'!M:M)</f>
        <v>60.499999523162842</v>
      </c>
      <c r="N57" s="598" t="e">
        <f t="shared" si="4"/>
        <v>#DIV/0!</v>
      </c>
      <c r="O57" s="603">
        <f t="shared" si="5"/>
        <v>0.5</v>
      </c>
      <c r="P57" s="598" t="e">
        <f t="shared" si="6"/>
        <v>#DIV/0!</v>
      </c>
      <c r="Q57" s="600" t="e">
        <f t="shared" si="7"/>
        <v>#DIV/0!</v>
      </c>
      <c r="R57" s="600" t="e">
        <f t="shared" si="8"/>
        <v>#DIV/0!</v>
      </c>
    </row>
    <row r="58" spans="1:21" s="409" customFormat="1">
      <c r="A58" s="576" t="str">
        <f>'2-Kosten per locatie'!A54</f>
        <v>t Vogelnest</v>
      </c>
      <c r="B58" s="597">
        <f>SUMIF(gebouw,'9b-Vloeronderhoud'!A58,'4-Basis ruimtestaat'!K:K)</f>
        <v>357.30000114440918</v>
      </c>
      <c r="C58" s="730" t="e">
        <f>SUMIF(gebouw,'9b-Vloeronderhoud'!A58,'4-Basis ruimtestaat'!O:O)</f>
        <v>#DIV/0!</v>
      </c>
      <c r="D58" s="600" t="e">
        <f t="shared" si="9"/>
        <v>#DIV/0!</v>
      </c>
      <c r="E58" s="730" t="e">
        <f t="shared" si="0"/>
        <v>#DIV/0!</v>
      </c>
      <c r="F58" s="599">
        <f t="shared" si="1"/>
        <v>1</v>
      </c>
      <c r="G58" s="597" t="e">
        <f t="shared" si="2"/>
        <v>#DIV/0!</v>
      </c>
      <c r="H58" s="600" t="e">
        <f t="shared" si="3"/>
        <v>#DIV/0!</v>
      </c>
      <c r="J58" s="598" t="e">
        <f>SUMIF(gebouw,'9b-Vloeronderhoud'!A58,'4-Basis ruimtestaat'!Q:Q)</f>
        <v>#DIV/0!</v>
      </c>
      <c r="K58" s="600" t="e">
        <f t="shared" si="10"/>
        <v>#DIV/0!</v>
      </c>
      <c r="M58" s="597">
        <f>SUMIF(gebouw,'9b-Vloeronderhoud'!A58,'4-Basis ruimtestaat'!M:M)</f>
        <v>54.500000238418579</v>
      </c>
      <c r="N58" s="598" t="e">
        <f t="shared" si="4"/>
        <v>#DIV/0!</v>
      </c>
      <c r="O58" s="603">
        <f t="shared" si="5"/>
        <v>0.5</v>
      </c>
      <c r="P58" s="598" t="e">
        <f t="shared" si="6"/>
        <v>#DIV/0!</v>
      </c>
      <c r="Q58" s="600" t="e">
        <f t="shared" si="7"/>
        <v>#DIV/0!</v>
      </c>
      <c r="R58" s="600" t="e">
        <f t="shared" si="8"/>
        <v>#DIV/0!</v>
      </c>
    </row>
    <row r="59" spans="1:21">
      <c r="A59" s="576" t="str">
        <f>'2-Kosten per locatie'!A55</f>
        <v>Ter Doest</v>
      </c>
      <c r="B59" s="597">
        <f>SUMIF(gebouw,'9b-Vloeronderhoud'!A59,'4-Basis ruimtestaat'!K:K)</f>
        <v>212.88999843597412</v>
      </c>
      <c r="C59" s="730" t="e">
        <f>SUMIF(gebouw,'9b-Vloeronderhoud'!A59,'4-Basis ruimtestaat'!O:O)</f>
        <v>#DIV/0!</v>
      </c>
      <c r="D59" s="600" t="e">
        <f t="shared" si="9"/>
        <v>#DIV/0!</v>
      </c>
      <c r="E59" s="730" t="e">
        <f t="shared" si="0"/>
        <v>#DIV/0!</v>
      </c>
      <c r="F59" s="599">
        <f t="shared" si="1"/>
        <v>1</v>
      </c>
      <c r="G59" s="597" t="e">
        <f t="shared" si="2"/>
        <v>#DIV/0!</v>
      </c>
      <c r="H59" s="600" t="e">
        <f t="shared" si="3"/>
        <v>#DIV/0!</v>
      </c>
      <c r="I59" s="409"/>
      <c r="J59" s="598" t="e">
        <f>SUMIF(gebouw,'9b-Vloeronderhoud'!A59,'4-Basis ruimtestaat'!Q:Q)</f>
        <v>#DIV/0!</v>
      </c>
      <c r="K59" s="600" t="e">
        <f t="shared" si="10"/>
        <v>#DIV/0!</v>
      </c>
      <c r="L59" s="409"/>
      <c r="M59" s="597">
        <f>SUMIF(gebouw,'9b-Vloeronderhoud'!A59,'4-Basis ruimtestaat'!M:M)</f>
        <v>385.19000244140625</v>
      </c>
      <c r="N59" s="598" t="e">
        <f t="shared" si="4"/>
        <v>#DIV/0!</v>
      </c>
      <c r="O59" s="603">
        <f t="shared" si="5"/>
        <v>0.5</v>
      </c>
      <c r="P59" s="598" t="e">
        <f t="shared" si="6"/>
        <v>#DIV/0!</v>
      </c>
      <c r="Q59" s="600" t="e">
        <f t="shared" si="7"/>
        <v>#DIV/0!</v>
      </c>
      <c r="R59" s="600" t="e">
        <f t="shared" si="8"/>
        <v>#DIV/0!</v>
      </c>
      <c r="S59" s="409"/>
      <c r="T59" s="409"/>
      <c r="U59" s="409"/>
    </row>
    <row r="60" spans="1:21">
      <c r="A60" s="576"/>
      <c r="B60" s="569"/>
      <c r="C60" s="570"/>
      <c r="D60" s="572"/>
      <c r="E60" s="570"/>
      <c r="F60" s="571"/>
      <c r="G60" s="570"/>
      <c r="H60" s="600"/>
      <c r="J60" s="598"/>
      <c r="K60" s="600"/>
      <c r="M60" s="597"/>
      <c r="N60" s="598"/>
      <c r="O60" s="573"/>
      <c r="P60" s="433"/>
      <c r="Q60" s="305"/>
      <c r="R60" s="600"/>
    </row>
    <row r="61" spans="1:21">
      <c r="D61" s="601"/>
    </row>
    <row r="62" spans="1:21">
      <c r="A62" s="306" t="s">
        <v>9</v>
      </c>
      <c r="B62" s="574">
        <f>SUM(B15:B61)</f>
        <v>20533.500057973863</v>
      </c>
      <c r="C62" s="574" t="e">
        <f>SUM(C15:C61)</f>
        <v>#DIV/0!</v>
      </c>
      <c r="D62" s="275" t="e">
        <f>SUM(D15:D61)</f>
        <v>#DIV/0!</v>
      </c>
      <c r="E62" s="574" t="e">
        <f>SUM(E15:E61)</f>
        <v>#DIV/0!</v>
      </c>
      <c r="F62" s="268"/>
      <c r="G62" s="574" t="e">
        <f>SUM(G15:G61)</f>
        <v>#DIV/0!</v>
      </c>
      <c r="H62" s="275" t="e">
        <f>SUM(H15:H61)</f>
        <v>#DIV/0!</v>
      </c>
      <c r="J62" s="574" t="e">
        <f>SUM(J15:J61)</f>
        <v>#DIV/0!</v>
      </c>
      <c r="K62" s="275" t="e">
        <f>SUM(K15:K61)</f>
        <v>#DIV/0!</v>
      </c>
      <c r="M62" s="574">
        <f>SUM(M15:M61)</f>
        <v>5635.9200136375421</v>
      </c>
      <c r="N62" s="574" t="e">
        <f>SUM(N15:N61)</f>
        <v>#DIV/0!</v>
      </c>
      <c r="O62" s="574"/>
      <c r="P62" s="574" t="e">
        <f>SUM(P15:P61)</f>
        <v>#DIV/0!</v>
      </c>
      <c r="Q62" s="275" t="e">
        <f>SUM(Q15:Q60)</f>
        <v>#DIV/0!</v>
      </c>
      <c r="R62" s="275" t="e">
        <f>SUM(R15:R60)</f>
        <v>#DIV/0!</v>
      </c>
    </row>
    <row r="64" spans="1:21">
      <c r="A64" s="575" t="s">
        <v>950</v>
      </c>
      <c r="K64" s="601" t="e">
        <f>R62+K62+H62+D62</f>
        <v>#DIV/0!</v>
      </c>
    </row>
    <row r="65" spans="1:1">
      <c r="A65" s="575" t="s">
        <v>168</v>
      </c>
    </row>
  </sheetData>
  <mergeCells count="1">
    <mergeCell ref="D3:E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BB8EB-324D-416F-BB63-27F3BD677A4C}">
  <sheetPr>
    <tabColor theme="0" tint="-0.14999847407452621"/>
  </sheetPr>
  <dimension ref="A2:D41"/>
  <sheetViews>
    <sheetView showGridLines="0" zoomScaleNormal="100" workbookViewId="0">
      <selection activeCell="B1" sqref="A1:B1"/>
    </sheetView>
  </sheetViews>
  <sheetFormatPr defaultColWidth="8.88671875" defaultRowHeight="13.2"/>
  <cols>
    <col min="1" max="1" width="27.6640625" style="4" customWidth="1"/>
    <col min="2" max="2" width="21.44140625" style="4" bestFit="1" customWidth="1"/>
    <col min="3" max="3" width="10.44140625" style="4" bestFit="1" customWidth="1"/>
    <col min="4" max="16384" width="8.88671875" style="4"/>
  </cols>
  <sheetData>
    <row r="2" spans="1:4">
      <c r="A2" s="145"/>
      <c r="B2" s="577"/>
    </row>
    <row r="3" spans="1:4" ht="15">
      <c r="A3" s="562" t="str">
        <f>'1-Contractblad totaal'!A3</f>
        <v>Naam opdrachtgever</v>
      </c>
      <c r="B3" s="563" t="str">
        <f>'1-Contractblad totaal'!B3</f>
        <v>Elevantio</v>
      </c>
    </row>
    <row r="4" spans="1:4" ht="15">
      <c r="A4" s="562" t="str">
        <f>'1-Contractblad totaal'!A4</f>
        <v>Calculatie onderdeel</v>
      </c>
      <c r="B4" s="564" t="str">
        <f ca="1">MID(CELL("bestandsnaam",$D$10),SEARCH("]",CELL("bestandsnaam",$D$10),1)+1,256)</f>
        <v>9a-Typen vloeren</v>
      </c>
    </row>
    <row r="5" spans="1:4" ht="15">
      <c r="A5" s="562" t="str">
        <f>'1-Contractblad totaal'!A5</f>
        <v>Gebouw/plaats</v>
      </c>
      <c r="B5" s="563" t="str">
        <f>'1-Contractblad totaal'!B5</f>
        <v>Markt 1, Axel</v>
      </c>
    </row>
    <row r="6" spans="1:4" ht="15">
      <c r="A6" s="562" t="str">
        <f>'1-Contractblad totaal'!A6</f>
        <v>Referentie nummer</v>
      </c>
      <c r="B6" s="563" t="str">
        <f>'1-Contractblad totaal'!B6</f>
        <v>Elevantio-EA-LK-RT-2022</v>
      </c>
    </row>
    <row r="7" spans="1:4" ht="15">
      <c r="A7" s="562" t="str">
        <f>'1-Contractblad totaal'!A7</f>
        <v>Versienummer</v>
      </c>
      <c r="B7" s="578">
        <v>0</v>
      </c>
    </row>
    <row r="9" spans="1:4" ht="25.8">
      <c r="A9" s="579" t="s">
        <v>951</v>
      </c>
      <c r="B9" s="141" t="s">
        <v>956</v>
      </c>
      <c r="C9" s="141" t="s">
        <v>958</v>
      </c>
    </row>
    <row r="10" spans="1:4">
      <c r="A10" s="303" t="s">
        <v>803</v>
      </c>
      <c r="B10" s="303" t="s">
        <v>957</v>
      </c>
      <c r="C10" s="573">
        <f>SUMIF('4-Basis ruimtestaat'!H:H,'9a-Typen vloeren'!A10,'4-Basis ruimtestaat'!J:J)</f>
        <v>67.099998474121094</v>
      </c>
    </row>
    <row r="11" spans="1:4">
      <c r="A11" s="303" t="s">
        <v>102</v>
      </c>
      <c r="B11" s="303" t="s">
        <v>957</v>
      </c>
      <c r="C11" s="573">
        <f>SUMIF('4-Basis ruimtestaat'!H:H,'9a-Typen vloeren'!A11,'4-Basis ruimtestaat'!J:J)</f>
        <v>155.56000028610228</v>
      </c>
    </row>
    <row r="12" spans="1:4">
      <c r="A12" s="303" t="s">
        <v>420</v>
      </c>
      <c r="B12" s="303" t="s">
        <v>952</v>
      </c>
      <c r="C12" s="573">
        <f>SUMIF('4-Basis ruimtestaat'!H:H,'9a-Typen vloeren'!A12,'4-Basis ruimtestaat'!J:J)</f>
        <v>18.299999237060547</v>
      </c>
    </row>
    <row r="13" spans="1:4">
      <c r="A13" s="303" t="s">
        <v>735</v>
      </c>
      <c r="B13" s="303" t="s">
        <v>957</v>
      </c>
      <c r="C13" s="573">
        <f>SUMIF('4-Basis ruimtestaat'!H:H,'9a-Typen vloeren'!A13,'4-Basis ruimtestaat'!J:J)</f>
        <v>159.7599983215332</v>
      </c>
      <c r="D13" s="301"/>
    </row>
    <row r="14" spans="1:4">
      <c r="A14" s="303" t="s">
        <v>333</v>
      </c>
      <c r="B14" s="303" t="s">
        <v>952</v>
      </c>
      <c r="C14" s="573">
        <f>SUMIF('4-Basis ruimtestaat'!H:H,'9a-Typen vloeren'!A14,'4-Basis ruimtestaat'!J:J)</f>
        <v>693.18000000000006</v>
      </c>
      <c r="D14" s="301"/>
    </row>
    <row r="15" spans="1:4">
      <c r="A15" s="303" t="s">
        <v>955</v>
      </c>
      <c r="B15" s="303" t="s">
        <v>965</v>
      </c>
      <c r="C15" s="573">
        <f>SUMIF('4-Basis ruimtestaat'!H:H,'9a-Typen vloeren'!A15,'4-Basis ruimtestaat'!J:J)</f>
        <v>618.26800104904191</v>
      </c>
      <c r="D15" s="301"/>
    </row>
    <row r="16" spans="1:4">
      <c r="A16" s="303" t="s">
        <v>378</v>
      </c>
      <c r="B16" s="303" t="s">
        <v>957</v>
      </c>
      <c r="C16" s="573">
        <f>SUMIF('4-Basis ruimtestaat'!H:H,'9a-Typen vloeren'!A16,'4-Basis ruimtestaat'!J:J)</f>
        <v>281.62000247955319</v>
      </c>
      <c r="D16" s="301"/>
    </row>
    <row r="17" spans="1:3">
      <c r="A17" s="303" t="s">
        <v>933</v>
      </c>
      <c r="B17" s="303" t="s">
        <v>957</v>
      </c>
      <c r="C17" s="573">
        <f>SUMIF('4-Basis ruimtestaat'!H:H,'9a-Typen vloeren'!A17,'4-Basis ruimtestaat'!J:J)</f>
        <v>30</v>
      </c>
    </row>
    <row r="18" spans="1:3">
      <c r="A18" s="303" t="s">
        <v>802</v>
      </c>
      <c r="B18" s="303" t="s">
        <v>957</v>
      </c>
      <c r="C18" s="573">
        <f>SUMIF('4-Basis ruimtestaat'!H:H,'9a-Typen vloeren'!A18,'4-Basis ruimtestaat'!J:J)</f>
        <v>179.4699999046326</v>
      </c>
    </row>
    <row r="19" spans="1:3">
      <c r="A19" s="303" t="s">
        <v>334</v>
      </c>
      <c r="B19" s="303" t="s">
        <v>957</v>
      </c>
      <c r="C19" s="573">
        <f>SUMIF('4-Basis ruimtestaat'!H:H,'9a-Typen vloeren'!A19,'4-Basis ruimtestaat'!J:J)</f>
        <v>102.64999997615814</v>
      </c>
    </row>
    <row r="20" spans="1:3">
      <c r="A20" s="303" t="s">
        <v>100</v>
      </c>
      <c r="B20" s="303" t="s">
        <v>953</v>
      </c>
      <c r="C20" s="573">
        <f>SUMIF('4-Basis ruimtestaat'!H:H,'9a-Typen vloeren'!A20,'4-Basis ruimtestaat'!J:J)</f>
        <v>22412.84005458828</v>
      </c>
    </row>
    <row r="21" spans="1:3">
      <c r="A21" s="303" t="s">
        <v>966</v>
      </c>
      <c r="B21" s="303" t="s">
        <v>965</v>
      </c>
      <c r="C21" s="573">
        <f>SUMIF('4-Basis ruimtestaat'!H:H,'9a-Typen vloeren'!A21,'4-Basis ruimtestaat'!J:J)</f>
        <v>138.41999981403353</v>
      </c>
    </row>
    <row r="22" spans="1:3">
      <c r="A22" s="303" t="s">
        <v>410</v>
      </c>
      <c r="B22" s="303" t="s">
        <v>953</v>
      </c>
      <c r="C22" s="573">
        <f>SUMIF('4-Basis ruimtestaat'!H:H,'9a-Typen vloeren'!A22,'4-Basis ruimtestaat'!J:J)</f>
        <v>1076.9500016212464</v>
      </c>
    </row>
    <row r="23" spans="1:3">
      <c r="A23" s="303" t="s">
        <v>931</v>
      </c>
      <c r="B23" s="303" t="s">
        <v>952</v>
      </c>
      <c r="C23" s="573">
        <f>SUMIF('4-Basis ruimtestaat'!H:H,'9a-Typen vloeren'!A23,'4-Basis ruimtestaat'!J:J)</f>
        <v>6.99</v>
      </c>
    </row>
    <row r="24" spans="1:3">
      <c r="A24" s="303" t="s">
        <v>649</v>
      </c>
      <c r="B24" s="303" t="s">
        <v>952</v>
      </c>
      <c r="C24" s="573">
        <f>SUMIF('4-Basis ruimtestaat'!H:H,'9a-Typen vloeren'!A24,'4-Basis ruimtestaat'!J:J)</f>
        <v>337.39999961853027</v>
      </c>
    </row>
    <row r="25" spans="1:3">
      <c r="A25" s="303" t="s">
        <v>335</v>
      </c>
      <c r="B25" s="303" t="s">
        <v>952</v>
      </c>
      <c r="C25" s="573">
        <f>SUMIF('4-Basis ruimtestaat'!H:H,'9a-Typen vloeren'!A25,'4-Basis ruimtestaat'!J:J)</f>
        <v>3181.1799971389764</v>
      </c>
    </row>
    <row r="26" spans="1:3">
      <c r="A26" s="303" t="s">
        <v>967</v>
      </c>
      <c r="B26" s="303" t="s">
        <v>965</v>
      </c>
      <c r="C26" s="573">
        <f>SUMIF('4-Basis ruimtestaat'!H:H,'9a-Typen vloeren'!A26,'4-Basis ruimtestaat'!J:J)</f>
        <v>163.64999954700468</v>
      </c>
    </row>
    <row r="27" spans="1:3">
      <c r="A27" s="303" t="s">
        <v>411</v>
      </c>
      <c r="B27" s="303" t="s">
        <v>952</v>
      </c>
      <c r="C27" s="573">
        <f>SUMIF('4-Basis ruimtestaat'!H:H,'9a-Typen vloeren'!A27,'4-Basis ruimtestaat'!J:J)</f>
        <v>84</v>
      </c>
    </row>
    <row r="28" spans="1:3">
      <c r="A28" s="303" t="s">
        <v>377</v>
      </c>
      <c r="B28" s="303" t="s">
        <v>952</v>
      </c>
      <c r="C28" s="573">
        <f>SUMIF('4-Basis ruimtestaat'!H:H,'9a-Typen vloeren'!A28,'4-Basis ruimtestaat'!J:J)</f>
        <v>3.8500000238418579</v>
      </c>
    </row>
    <row r="29" spans="1:3">
      <c r="A29" s="303" t="s">
        <v>563</v>
      </c>
      <c r="B29" s="303" t="s">
        <v>957</v>
      </c>
      <c r="C29" s="573">
        <f>SUMIF('4-Basis ruimtestaat'!H:H,'9a-Typen vloeren'!A29,'4-Basis ruimtestaat'!J:J)</f>
        <v>55.300000000000011</v>
      </c>
    </row>
    <row r="30" spans="1:3">
      <c r="A30" s="303" t="s">
        <v>398</v>
      </c>
      <c r="B30" s="303" t="s">
        <v>957</v>
      </c>
      <c r="C30" s="573">
        <f>SUMIF('4-Basis ruimtestaat'!H:H,'9a-Typen vloeren'!A30,'4-Basis ruimtestaat'!J:J)</f>
        <v>135</v>
      </c>
    </row>
    <row r="31" spans="1:3">
      <c r="A31" s="303" t="s">
        <v>376</v>
      </c>
      <c r="B31" s="303" t="s">
        <v>952</v>
      </c>
      <c r="C31" s="573">
        <f>SUMIF('4-Basis ruimtestaat'!H:H,'9a-Typen vloeren'!A31,'4-Basis ruimtestaat'!J:J)</f>
        <v>642.63</v>
      </c>
    </row>
    <row r="32" spans="1:3">
      <c r="A32" s="303" t="s">
        <v>672</v>
      </c>
      <c r="B32" s="303" t="s">
        <v>952</v>
      </c>
      <c r="C32" s="573">
        <f>SUMIF('4-Basis ruimtestaat'!H:H,'9a-Typen vloeren'!A32,'4-Basis ruimtestaat'!J:J)</f>
        <v>17</v>
      </c>
    </row>
    <row r="33" spans="1:3">
      <c r="A33" s="303" t="s">
        <v>332</v>
      </c>
      <c r="B33" s="303" t="s">
        <v>970</v>
      </c>
      <c r="C33" s="573">
        <f>SUMIF('4-Basis ruimtestaat'!H:H,'9a-Typen vloeren'!A33,'4-Basis ruimtestaat'!J:J)</f>
        <v>5739.3100133323687</v>
      </c>
    </row>
    <row r="34" spans="1:3">
      <c r="A34" s="303" t="s">
        <v>932</v>
      </c>
      <c r="B34" s="303" t="s">
        <v>952</v>
      </c>
      <c r="C34" s="573">
        <f>SUMIF('4-Basis ruimtestaat'!H:H,'9a-Typen vloeren'!A34,'4-Basis ruimtestaat'!J:J)</f>
        <v>592.33999999999992</v>
      </c>
    </row>
    <row r="35" spans="1:3">
      <c r="A35" s="303" t="s">
        <v>101</v>
      </c>
      <c r="B35" s="303" t="s">
        <v>952</v>
      </c>
      <c r="C35" s="573">
        <f>SUMIF('4-Basis ruimtestaat'!H:H,'9a-Typen vloeren'!A35,'4-Basis ruimtestaat'!J:J)</f>
        <v>1247.6400020122526</v>
      </c>
    </row>
    <row r="36" spans="1:3">
      <c r="A36" s="534" t="s">
        <v>954</v>
      </c>
      <c r="B36" s="303" t="s">
        <v>965</v>
      </c>
      <c r="C36" s="573">
        <f>SUMIF('4-Basis ruimtestaat'!H:H,'9a-Typen vloeren'!A36,'4-Basis ruimtestaat'!J:J)</f>
        <v>597.62000131130219</v>
      </c>
    </row>
    <row r="37" spans="1:3">
      <c r="A37" s="303" t="s">
        <v>545</v>
      </c>
      <c r="B37" s="303" t="s">
        <v>952</v>
      </c>
      <c r="C37" s="573">
        <f>SUMIF('4-Basis ruimtestaat'!H:H,'9a-Typen vloeren'!A37,'4-Basis ruimtestaat'!J:J)</f>
        <v>57.20000171661377</v>
      </c>
    </row>
    <row r="38" spans="1:3">
      <c r="A38" s="303" t="s">
        <v>564</v>
      </c>
      <c r="B38" s="303" t="s">
        <v>952</v>
      </c>
      <c r="C38" s="573">
        <f>SUMIF('4-Basis ruimtestaat'!H:H,'9a-Typen vloeren'!A38,'4-Basis ruimtestaat'!J:J)</f>
        <v>1073.5</v>
      </c>
    </row>
    <row r="39" spans="1:3">
      <c r="A39" s="303" t="s">
        <v>968</v>
      </c>
      <c r="B39" s="303" t="s">
        <v>965</v>
      </c>
      <c r="C39" s="573">
        <f>SUMIF('4-Basis ruimtestaat'!H:H,'9a-Typen vloeren'!A39,'4-Basis ruimtestaat'!J:J)</f>
        <v>47.8</v>
      </c>
    </row>
    <row r="40" spans="1:3">
      <c r="A40" s="303" t="s">
        <v>375</v>
      </c>
      <c r="B40" s="303" t="s">
        <v>957</v>
      </c>
      <c r="C40" s="573">
        <f>SUMIF('4-Basis ruimtestaat'!H:H,'9a-Typen vloeren'!A40,'4-Basis ruimtestaat'!J:J)</f>
        <v>5507.8599969720799</v>
      </c>
    </row>
    <row r="41" spans="1:3">
      <c r="A41" s="306" t="s">
        <v>9</v>
      </c>
      <c r="B41" s="307"/>
      <c r="C41" s="580">
        <f>SUM(C10:C40)</f>
        <v>45424.388067424741</v>
      </c>
    </row>
  </sheetData>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52"/>
  <sheetViews>
    <sheetView showGridLines="0" showZeros="0" zoomScale="96" zoomScaleNormal="96" zoomScaleSheetLayoutView="75" zoomScalePageLayoutView="50" workbookViewId="0">
      <pane ySplit="10" topLeftCell="A11" activePane="bottomLeft" state="frozen"/>
      <selection activeCell="D33" sqref="D33"/>
      <selection pane="bottomLeft" activeCell="D41" sqref="D41"/>
    </sheetView>
  </sheetViews>
  <sheetFormatPr defaultColWidth="11.44140625" defaultRowHeight="13.2"/>
  <cols>
    <col min="1" max="1" width="39" style="4" customWidth="1"/>
    <col min="2" max="2" width="20.33203125" style="4" customWidth="1"/>
    <col min="3" max="6" width="17.5546875" style="4" customWidth="1"/>
    <col min="7" max="16384" width="11.44140625" style="4"/>
  </cols>
  <sheetData>
    <row r="1" spans="1:6" ht="13.8">
      <c r="A1" s="421" t="s">
        <v>26</v>
      </c>
      <c r="B1" s="309"/>
      <c r="C1" s="310"/>
      <c r="D1" s="311"/>
    </row>
    <row r="3" spans="1:6" ht="15.6">
      <c r="A3" s="113" t="str">
        <f>'1-Contractblad totaal'!A3</f>
        <v>Naam opdrachtgever</v>
      </c>
      <c r="B3" s="140" t="str">
        <f>'1-Contractblad totaal'!B3</f>
        <v>Elevantio</v>
      </c>
      <c r="C3" s="312"/>
      <c r="D3" s="312"/>
    </row>
    <row r="4" spans="1:6" ht="15">
      <c r="A4" s="113" t="str">
        <f>'1-Contractblad totaal'!A4</f>
        <v>Calculatie onderdeel</v>
      </c>
      <c r="B4" s="140" t="str">
        <f ca="1">MID(CELL("bestandsnaam",$C$9),SEARCH("]",CELL("bestandsnaam",$C$9),1)+1,256)</f>
        <v>9-Afroepprijs</v>
      </c>
      <c r="C4" s="313"/>
      <c r="D4" s="314"/>
    </row>
    <row r="5" spans="1:6" ht="15">
      <c r="A5" s="113" t="str">
        <f>'1-Contractblad totaal'!A5</f>
        <v>Gebouw/plaats</v>
      </c>
      <c r="B5" s="140" t="str">
        <f>'1-Contractblad totaal'!B5</f>
        <v>Markt 1, Axel</v>
      </c>
      <c r="C5" s="313"/>
      <c r="D5" s="314"/>
    </row>
    <row r="6" spans="1:6" ht="15">
      <c r="A6" s="113" t="str">
        <f>'1-Contractblad totaal'!A6</f>
        <v>Referentie nummer</v>
      </c>
      <c r="B6" s="140" t="str">
        <f>'1-Contractblad totaal'!B6</f>
        <v>Elevantio-EA-LK-RT-2022</v>
      </c>
      <c r="C6" s="313"/>
      <c r="D6" s="314"/>
    </row>
    <row r="7" spans="1:6" ht="15">
      <c r="A7" s="113" t="str">
        <f>'1-Contractblad totaal'!A8</f>
        <v>Naam dienstverlener</v>
      </c>
      <c r="B7" s="140">
        <f>'1-Contractblad totaal'!B8</f>
        <v>0</v>
      </c>
      <c r="C7" s="313"/>
      <c r="D7" s="314"/>
    </row>
    <row r="8" spans="1:6" ht="15">
      <c r="A8" s="113" t="str">
        <f>'1-Contractblad totaal'!A9</f>
        <v>Prijspeil</v>
      </c>
      <c r="B8" s="114">
        <f>'1-Contractblad totaal'!B9</f>
        <v>44652</v>
      </c>
      <c r="C8" s="313"/>
      <c r="D8" s="314"/>
    </row>
    <row r="9" spans="1:6" ht="15">
      <c r="A9" s="106"/>
      <c r="B9" s="315"/>
      <c r="C9" s="313"/>
      <c r="D9" s="314"/>
    </row>
    <row r="10" spans="1:6">
      <c r="A10" s="316"/>
      <c r="B10" s="317"/>
      <c r="C10" s="317"/>
      <c r="D10" s="317"/>
    </row>
    <row r="11" spans="1:6" ht="15">
      <c r="A11" s="341" t="s">
        <v>161</v>
      </c>
      <c r="B11" s="342"/>
      <c r="C11" s="342"/>
      <c r="D11" s="343"/>
      <c r="E11" s="343"/>
      <c r="F11" s="344"/>
    </row>
    <row r="13" spans="1:6">
      <c r="A13" s="326"/>
      <c r="B13" s="327"/>
      <c r="C13" s="779" t="s">
        <v>121</v>
      </c>
      <c r="D13" s="780"/>
      <c r="E13" s="780"/>
      <c r="F13" s="781"/>
    </row>
    <row r="14" spans="1:6">
      <c r="A14" s="328" t="s">
        <v>54</v>
      </c>
      <c r="B14" s="328" t="s">
        <v>13</v>
      </c>
      <c r="C14" s="329" t="s">
        <v>117</v>
      </c>
      <c r="D14" s="304" t="s">
        <v>118</v>
      </c>
      <c r="E14" s="304" t="s">
        <v>119</v>
      </c>
      <c r="F14" s="304" t="s">
        <v>120</v>
      </c>
    </row>
    <row r="15" spans="1:6" ht="13.8">
      <c r="A15" s="318" t="s">
        <v>77</v>
      </c>
      <c r="B15" s="318" t="s">
        <v>37</v>
      </c>
      <c r="C15" s="431">
        <v>0</v>
      </c>
      <c r="D15" s="431">
        <v>0</v>
      </c>
      <c r="E15" s="431">
        <v>0</v>
      </c>
      <c r="F15" s="431">
        <v>0</v>
      </c>
    </row>
    <row r="16" spans="1:6" ht="13.8">
      <c r="A16" s="318" t="s">
        <v>78</v>
      </c>
      <c r="B16" s="318" t="s">
        <v>38</v>
      </c>
      <c r="C16" s="431">
        <v>0</v>
      </c>
      <c r="D16" s="431">
        <v>0</v>
      </c>
      <c r="E16" s="431">
        <v>0</v>
      </c>
      <c r="F16" s="431">
        <v>0</v>
      </c>
    </row>
    <row r="17" spans="1:7" ht="13.8">
      <c r="A17" s="330" t="s">
        <v>79</v>
      </c>
      <c r="B17" s="432"/>
      <c r="C17" s="431">
        <v>0</v>
      </c>
      <c r="D17" s="431">
        <v>0</v>
      </c>
      <c r="E17" s="431">
        <v>0</v>
      </c>
      <c r="F17" s="431">
        <v>0</v>
      </c>
    </row>
    <row r="18" spans="1:7" ht="13.8">
      <c r="A18" s="330" t="s">
        <v>8</v>
      </c>
      <c r="B18" s="432"/>
      <c r="C18" s="431">
        <v>0</v>
      </c>
      <c r="D18" s="431">
        <v>0</v>
      </c>
      <c r="E18" s="431">
        <v>0</v>
      </c>
      <c r="F18" s="431">
        <v>0</v>
      </c>
    </row>
    <row r="19" spans="1:7" ht="13.8">
      <c r="A19" s="319"/>
      <c r="B19" s="319"/>
      <c r="C19" s="319"/>
      <c r="D19" s="320"/>
    </row>
    <row r="20" spans="1:7" ht="15">
      <c r="A20" s="341" t="s">
        <v>162</v>
      </c>
      <c r="B20" s="345"/>
      <c r="C20" s="345"/>
      <c r="D20" s="345"/>
      <c r="E20" s="345"/>
      <c r="F20" s="346"/>
    </row>
    <row r="21" spans="1:7">
      <c r="A21" s="322"/>
      <c r="B21" s="322"/>
      <c r="C21" s="322"/>
      <c r="D21" s="322"/>
      <c r="E21" s="171"/>
      <c r="F21" s="171"/>
      <c r="G21" s="171"/>
    </row>
    <row r="22" spans="1:7" ht="26.4">
      <c r="A22" s="334" t="s">
        <v>54</v>
      </c>
      <c r="B22" s="335" t="s">
        <v>13</v>
      </c>
      <c r="C22" s="332"/>
      <c r="D22" s="333"/>
      <c r="E22" s="336" t="s">
        <v>115</v>
      </c>
      <c r="F22" s="337" t="s">
        <v>116</v>
      </c>
    </row>
    <row r="23" spans="1:7" ht="13.8">
      <c r="A23" s="321" t="s">
        <v>163</v>
      </c>
      <c r="B23" s="426" t="s">
        <v>20</v>
      </c>
      <c r="C23" s="427"/>
      <c r="D23" s="427"/>
      <c r="E23" s="428">
        <v>0</v>
      </c>
      <c r="F23" s="428">
        <v>0</v>
      </c>
    </row>
    <row r="24" spans="1:7" ht="13.8">
      <c r="A24" s="321" t="s">
        <v>164</v>
      </c>
      <c r="B24" s="426" t="s">
        <v>20</v>
      </c>
      <c r="C24" s="429"/>
      <c r="D24" s="429"/>
      <c r="E24" s="428">
        <v>0</v>
      </c>
      <c r="F24" s="428">
        <v>0</v>
      </c>
    </row>
    <row r="25" spans="1:7" ht="13.8">
      <c r="A25" s="321" t="s">
        <v>165</v>
      </c>
      <c r="B25" s="426" t="s">
        <v>20</v>
      </c>
      <c r="C25" s="430"/>
      <c r="D25" s="429"/>
      <c r="E25" s="428">
        <v>0</v>
      </c>
      <c r="F25" s="428">
        <v>0</v>
      </c>
    </row>
    <row r="26" spans="1:7" ht="13.8">
      <c r="A26" s="321" t="s">
        <v>216</v>
      </c>
      <c r="B26" s="426" t="s">
        <v>20</v>
      </c>
      <c r="C26" s="430"/>
      <c r="D26" s="429"/>
      <c r="E26" s="428">
        <v>0</v>
      </c>
      <c r="F26" s="428">
        <v>0</v>
      </c>
    </row>
    <row r="27" spans="1:7" ht="13.8">
      <c r="A27" s="321" t="s">
        <v>217</v>
      </c>
      <c r="B27" s="426" t="s">
        <v>20</v>
      </c>
      <c r="C27" s="430"/>
      <c r="D27" s="429"/>
      <c r="E27" s="428">
        <v>0</v>
      </c>
      <c r="F27" s="428">
        <v>0</v>
      </c>
    </row>
    <row r="29" spans="1:7" ht="15">
      <c r="A29" s="341" t="s">
        <v>166</v>
      </c>
      <c r="B29" s="345"/>
      <c r="C29" s="345"/>
      <c r="D29" s="345"/>
      <c r="E29" s="345"/>
      <c r="F29" s="346"/>
    </row>
    <row r="30" spans="1:7" ht="13.8">
      <c r="A30" s="331"/>
      <c r="B30" s="319"/>
      <c r="C30" s="319"/>
      <c r="D30" s="320"/>
    </row>
    <row r="31" spans="1:7">
      <c r="A31" s="328" t="s">
        <v>54</v>
      </c>
      <c r="B31" s="326" t="s">
        <v>13</v>
      </c>
      <c r="C31" s="322"/>
      <c r="D31" s="322"/>
      <c r="E31" s="322"/>
      <c r="F31" s="338" t="s">
        <v>122</v>
      </c>
    </row>
    <row r="32" spans="1:7" ht="13.8">
      <c r="A32" s="321" t="s">
        <v>167</v>
      </c>
      <c r="B32" s="323" t="s">
        <v>123</v>
      </c>
      <c r="C32" s="323"/>
      <c r="D32" s="323"/>
      <c r="E32" s="323"/>
      <c r="F32" s="431">
        <v>0</v>
      </c>
    </row>
    <row r="33" spans="1:6" ht="13.8">
      <c r="A33" s="321" t="s">
        <v>167</v>
      </c>
      <c r="B33" s="323" t="s">
        <v>125</v>
      </c>
      <c r="C33" s="323"/>
      <c r="D33" s="323"/>
      <c r="E33" s="323"/>
      <c r="F33" s="431">
        <v>0</v>
      </c>
    </row>
    <row r="34" spans="1:6" ht="13.8">
      <c r="A34" s="321" t="s">
        <v>167</v>
      </c>
      <c r="B34" s="323" t="s">
        <v>124</v>
      </c>
      <c r="C34" s="323"/>
      <c r="D34" s="323"/>
      <c r="E34" s="323"/>
      <c r="F34" s="431">
        <v>0</v>
      </c>
    </row>
    <row r="35" spans="1:6" ht="13.8">
      <c r="A35" s="321" t="s">
        <v>149</v>
      </c>
      <c r="B35" s="323" t="s">
        <v>123</v>
      </c>
      <c r="C35" s="323"/>
      <c r="D35" s="323"/>
      <c r="E35" s="323"/>
      <c r="F35" s="431">
        <v>0</v>
      </c>
    </row>
    <row r="36" spans="1:6" s="104" customFormat="1">
      <c r="A36" s="324"/>
      <c r="B36" s="324"/>
      <c r="C36" s="324"/>
    </row>
    <row r="37" spans="1:6" s="104" customFormat="1" ht="15">
      <c r="A37" s="347" t="s">
        <v>1047</v>
      </c>
      <c r="B37" s="347"/>
      <c r="C37" s="324"/>
    </row>
    <row r="38" spans="1:6" s="104" customFormat="1">
      <c r="A38" s="330" t="s">
        <v>1048</v>
      </c>
      <c r="B38" s="339" t="s">
        <v>1051</v>
      </c>
      <c r="C38" s="324"/>
    </row>
    <row r="39" spans="1:6" s="104" customFormat="1" ht="13.8">
      <c r="A39" s="318" t="s">
        <v>1049</v>
      </c>
      <c r="B39" s="431">
        <v>0</v>
      </c>
      <c r="C39" s="324"/>
    </row>
    <row r="40" spans="1:6" s="104" customFormat="1" ht="13.8">
      <c r="A40" s="318" t="s">
        <v>1050</v>
      </c>
      <c r="B40" s="431">
        <v>0</v>
      </c>
      <c r="C40" s="324"/>
    </row>
    <row r="41" spans="1:6" s="104" customFormat="1">
      <c r="A41" s="324"/>
      <c r="B41" s="324"/>
    </row>
    <row r="42" spans="1:6" ht="15">
      <c r="A42" s="340" t="s">
        <v>2</v>
      </c>
      <c r="B42" s="320"/>
      <c r="C42" s="320"/>
      <c r="D42" s="319"/>
    </row>
    <row r="43" spans="1:6">
      <c r="A43" s="319" t="s">
        <v>41</v>
      </c>
    </row>
    <row r="44" spans="1:6" ht="13.8">
      <c r="A44" s="319" t="s">
        <v>168</v>
      </c>
      <c r="B44" s="320"/>
      <c r="C44" s="320"/>
      <c r="D44" s="319"/>
    </row>
    <row r="45" spans="1:6" ht="12.75" customHeight="1">
      <c r="A45" s="319"/>
      <c r="B45" s="320"/>
      <c r="C45" s="320"/>
      <c r="D45" s="319"/>
    </row>
    <row r="46" spans="1:6" ht="13.8">
      <c r="A46" s="319"/>
      <c r="B46" s="320"/>
      <c r="C46" s="320"/>
      <c r="D46" s="319"/>
    </row>
    <row r="47" spans="1:6" ht="13.8">
      <c r="A47" s="319"/>
      <c r="B47" s="320"/>
      <c r="C47" s="320"/>
      <c r="D47" s="319"/>
    </row>
    <row r="49" spans="1:4" ht="13.8">
      <c r="A49" s="325"/>
      <c r="B49" s="309"/>
      <c r="C49" s="309"/>
      <c r="D49" s="309"/>
    </row>
    <row r="50" spans="1:4">
      <c r="A50" s="325"/>
    </row>
    <row r="51" spans="1:4">
      <c r="A51" s="325"/>
    </row>
    <row r="52" spans="1:4">
      <c r="A52" s="325"/>
    </row>
  </sheetData>
  <mergeCells count="1">
    <mergeCell ref="C13:F13"/>
  </mergeCells>
  <phoneticPr fontId="17"/>
  <conditionalFormatting sqref="E27:F27">
    <cfRule type="cellIs" dxfId="5" priority="20" stopIfTrue="1" operator="equal">
      <formula>"nvt"</formula>
    </cfRule>
  </conditionalFormatting>
  <conditionalFormatting sqref="F32:F35">
    <cfRule type="cellIs" dxfId="4" priority="10" stopIfTrue="1" operator="equal">
      <formula>"nvt"</formula>
    </cfRule>
  </conditionalFormatting>
  <conditionalFormatting sqref="F23 E23:E24 E26:F26">
    <cfRule type="cellIs" dxfId="3" priority="6" stopIfTrue="1" operator="equal">
      <formula>"nvt"</formula>
    </cfRule>
  </conditionalFormatting>
  <conditionalFormatting sqref="F24">
    <cfRule type="cellIs" dxfId="2" priority="5" stopIfTrue="1" operator="equal">
      <formula>"nvt"</formula>
    </cfRule>
  </conditionalFormatting>
  <conditionalFormatting sqref="E25:F25">
    <cfRule type="cellIs" dxfId="1" priority="4" stopIfTrue="1" operator="equal">
      <formula>"nvt"</formula>
    </cfRule>
  </conditionalFormatting>
  <conditionalFormatting sqref="B39:B40">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B166"/>
  <sheetViews>
    <sheetView showGridLines="0" zoomScale="70" zoomScaleNormal="70" zoomScaleSheetLayoutView="50" zoomScalePageLayoutView="50" workbookViewId="0">
      <pane ySplit="10" topLeftCell="A11" activePane="bottomLeft" state="frozen"/>
      <selection activeCell="D33" sqref="D33"/>
      <selection pane="bottomLeft" activeCell="E9" sqref="E9"/>
    </sheetView>
  </sheetViews>
  <sheetFormatPr defaultColWidth="13.6640625" defaultRowHeight="13.2"/>
  <cols>
    <col min="1" max="1" width="46.109375" style="359" customWidth="1"/>
    <col min="2" max="2" width="27.5546875" style="362" customWidth="1"/>
    <col min="3" max="3" width="12.109375" style="362" customWidth="1"/>
    <col min="4" max="4" width="24.33203125" style="364" customWidth="1"/>
    <col min="5" max="5" width="16.109375" style="363" customWidth="1"/>
    <col min="6" max="6" width="13.6640625" style="364" customWidth="1"/>
    <col min="7" max="7" width="15.88671875" style="364" customWidth="1"/>
    <col min="8" max="249" width="13.6640625" style="359"/>
    <col min="250" max="250" width="22.109375" style="359" customWidth="1"/>
    <col min="251" max="257" width="13.6640625" style="359" customWidth="1"/>
    <col min="258" max="258" width="15.88671875" style="359" customWidth="1"/>
    <col min="259" max="259" width="16.5546875" style="359" bestFit="1" customWidth="1"/>
    <col min="260" max="260" width="13.6640625" style="359" customWidth="1"/>
    <col min="261" max="261" width="17.109375" style="359" bestFit="1" customWidth="1"/>
    <col min="262" max="262" width="4" style="359" customWidth="1"/>
    <col min="263" max="263" width="13.6640625" style="359" customWidth="1"/>
    <col min="264" max="505" width="13.6640625" style="359"/>
    <col min="506" max="506" width="22.109375" style="359" customWidth="1"/>
    <col min="507" max="513" width="13.6640625" style="359" customWidth="1"/>
    <col min="514" max="514" width="15.88671875" style="359" customWidth="1"/>
    <col min="515" max="515" width="16.5546875" style="359" bestFit="1" customWidth="1"/>
    <col min="516" max="516" width="13.6640625" style="359" customWidth="1"/>
    <col min="517" max="517" width="17.109375" style="359" bestFit="1" customWidth="1"/>
    <col min="518" max="518" width="4" style="359" customWidth="1"/>
    <col min="519" max="519" width="13.6640625" style="359" customWidth="1"/>
    <col min="520" max="761" width="13.6640625" style="359"/>
    <col min="762" max="762" width="22.109375" style="359" customWidth="1"/>
    <col min="763" max="769" width="13.6640625" style="359" customWidth="1"/>
    <col min="770" max="770" width="15.88671875" style="359" customWidth="1"/>
    <col min="771" max="771" width="16.5546875" style="359" bestFit="1" customWidth="1"/>
    <col min="772" max="772" width="13.6640625" style="359" customWidth="1"/>
    <col min="773" max="773" width="17.109375" style="359" bestFit="1" customWidth="1"/>
    <col min="774" max="774" width="4" style="359" customWidth="1"/>
    <col min="775" max="775" width="13.6640625" style="359" customWidth="1"/>
    <col min="776" max="1017" width="13.6640625" style="359"/>
    <col min="1018" max="1018" width="22.109375" style="359" customWidth="1"/>
    <col min="1019" max="1025" width="13.6640625" style="359" customWidth="1"/>
    <col min="1026" max="1026" width="15.88671875" style="359" customWidth="1"/>
    <col min="1027" max="1027" width="16.5546875" style="359" bestFit="1" customWidth="1"/>
    <col min="1028" max="1028" width="13.6640625" style="359" customWidth="1"/>
    <col min="1029" max="1029" width="17.109375" style="359" bestFit="1" customWidth="1"/>
    <col min="1030" max="1030" width="4" style="359" customWidth="1"/>
    <col min="1031" max="1031" width="13.6640625" style="359" customWidth="1"/>
    <col min="1032" max="1273" width="13.6640625" style="359"/>
    <col min="1274" max="1274" width="22.109375" style="359" customWidth="1"/>
    <col min="1275" max="1281" width="13.6640625" style="359" customWidth="1"/>
    <col min="1282" max="1282" width="15.88671875" style="359" customWidth="1"/>
    <col min="1283" max="1283" width="16.5546875" style="359" bestFit="1" customWidth="1"/>
    <col min="1284" max="1284" width="13.6640625" style="359" customWidth="1"/>
    <col min="1285" max="1285" width="17.109375" style="359" bestFit="1" customWidth="1"/>
    <col min="1286" max="1286" width="4" style="359" customWidth="1"/>
    <col min="1287" max="1287" width="13.6640625" style="359" customWidth="1"/>
    <col min="1288" max="1529" width="13.6640625" style="359"/>
    <col min="1530" max="1530" width="22.109375" style="359" customWidth="1"/>
    <col min="1531" max="1537" width="13.6640625" style="359" customWidth="1"/>
    <col min="1538" max="1538" width="15.88671875" style="359" customWidth="1"/>
    <col min="1539" max="1539" width="16.5546875" style="359" bestFit="1" customWidth="1"/>
    <col min="1540" max="1540" width="13.6640625" style="359" customWidth="1"/>
    <col min="1541" max="1541" width="17.109375" style="359" bestFit="1" customWidth="1"/>
    <col min="1542" max="1542" width="4" style="359" customWidth="1"/>
    <col min="1543" max="1543" width="13.6640625" style="359" customWidth="1"/>
    <col min="1544" max="1785" width="13.6640625" style="359"/>
    <col min="1786" max="1786" width="22.109375" style="359" customWidth="1"/>
    <col min="1787" max="1793" width="13.6640625" style="359" customWidth="1"/>
    <col min="1794" max="1794" width="15.88671875" style="359" customWidth="1"/>
    <col min="1795" max="1795" width="16.5546875" style="359" bestFit="1" customWidth="1"/>
    <col min="1796" max="1796" width="13.6640625" style="359" customWidth="1"/>
    <col min="1797" max="1797" width="17.109375" style="359" bestFit="1" customWidth="1"/>
    <col min="1798" max="1798" width="4" style="359" customWidth="1"/>
    <col min="1799" max="1799" width="13.6640625" style="359" customWidth="1"/>
    <col min="1800" max="2041" width="13.6640625" style="359"/>
    <col min="2042" max="2042" width="22.109375" style="359" customWidth="1"/>
    <col min="2043" max="2049" width="13.6640625" style="359" customWidth="1"/>
    <col min="2050" max="2050" width="15.88671875" style="359" customWidth="1"/>
    <col min="2051" max="2051" width="16.5546875" style="359" bestFit="1" customWidth="1"/>
    <col min="2052" max="2052" width="13.6640625" style="359" customWidth="1"/>
    <col min="2053" max="2053" width="17.109375" style="359" bestFit="1" customWidth="1"/>
    <col min="2054" max="2054" width="4" style="359" customWidth="1"/>
    <col min="2055" max="2055" width="13.6640625" style="359" customWidth="1"/>
    <col min="2056" max="2297" width="13.6640625" style="359"/>
    <col min="2298" max="2298" width="22.109375" style="359" customWidth="1"/>
    <col min="2299" max="2305" width="13.6640625" style="359" customWidth="1"/>
    <col min="2306" max="2306" width="15.88671875" style="359" customWidth="1"/>
    <col min="2307" max="2307" width="16.5546875" style="359" bestFit="1" customWidth="1"/>
    <col min="2308" max="2308" width="13.6640625" style="359" customWidth="1"/>
    <col min="2309" max="2309" width="17.109375" style="359" bestFit="1" customWidth="1"/>
    <col min="2310" max="2310" width="4" style="359" customWidth="1"/>
    <col min="2311" max="2311" width="13.6640625" style="359" customWidth="1"/>
    <col min="2312" max="2553" width="13.6640625" style="359"/>
    <col min="2554" max="2554" width="22.109375" style="359" customWidth="1"/>
    <col min="2555" max="2561" width="13.6640625" style="359" customWidth="1"/>
    <col min="2562" max="2562" width="15.88671875" style="359" customWidth="1"/>
    <col min="2563" max="2563" width="16.5546875" style="359" bestFit="1" customWidth="1"/>
    <col min="2564" max="2564" width="13.6640625" style="359" customWidth="1"/>
    <col min="2565" max="2565" width="17.109375" style="359" bestFit="1" customWidth="1"/>
    <col min="2566" max="2566" width="4" style="359" customWidth="1"/>
    <col min="2567" max="2567" width="13.6640625" style="359" customWidth="1"/>
    <col min="2568" max="2809" width="13.6640625" style="359"/>
    <col min="2810" max="2810" width="22.109375" style="359" customWidth="1"/>
    <col min="2811" max="2817" width="13.6640625" style="359" customWidth="1"/>
    <col min="2818" max="2818" width="15.88671875" style="359" customWidth="1"/>
    <col min="2819" max="2819" width="16.5546875" style="359" bestFit="1" customWidth="1"/>
    <col min="2820" max="2820" width="13.6640625" style="359" customWidth="1"/>
    <col min="2821" max="2821" width="17.109375" style="359" bestFit="1" customWidth="1"/>
    <col min="2822" max="2822" width="4" style="359" customWidth="1"/>
    <col min="2823" max="2823" width="13.6640625" style="359" customWidth="1"/>
    <col min="2824" max="3065" width="13.6640625" style="359"/>
    <col min="3066" max="3066" width="22.109375" style="359" customWidth="1"/>
    <col min="3067" max="3073" width="13.6640625" style="359" customWidth="1"/>
    <col min="3074" max="3074" width="15.88671875" style="359" customWidth="1"/>
    <col min="3075" max="3075" width="16.5546875" style="359" bestFit="1" customWidth="1"/>
    <col min="3076" max="3076" width="13.6640625" style="359" customWidth="1"/>
    <col min="3077" max="3077" width="17.109375" style="359" bestFit="1" customWidth="1"/>
    <col min="3078" max="3078" width="4" style="359" customWidth="1"/>
    <col min="3079" max="3079" width="13.6640625" style="359" customWidth="1"/>
    <col min="3080" max="3321" width="13.6640625" style="359"/>
    <col min="3322" max="3322" width="22.109375" style="359" customWidth="1"/>
    <col min="3323" max="3329" width="13.6640625" style="359" customWidth="1"/>
    <col min="3330" max="3330" width="15.88671875" style="359" customWidth="1"/>
    <col min="3331" max="3331" width="16.5546875" style="359" bestFit="1" customWidth="1"/>
    <col min="3332" max="3332" width="13.6640625" style="359" customWidth="1"/>
    <col min="3333" max="3333" width="17.109375" style="359" bestFit="1" customWidth="1"/>
    <col min="3334" max="3334" width="4" style="359" customWidth="1"/>
    <col min="3335" max="3335" width="13.6640625" style="359" customWidth="1"/>
    <col min="3336" max="3577" width="13.6640625" style="359"/>
    <col min="3578" max="3578" width="22.109375" style="359" customWidth="1"/>
    <col min="3579" max="3585" width="13.6640625" style="359" customWidth="1"/>
    <col min="3586" max="3586" width="15.88671875" style="359" customWidth="1"/>
    <col min="3587" max="3587" width="16.5546875" style="359" bestFit="1" customWidth="1"/>
    <col min="3588" max="3588" width="13.6640625" style="359" customWidth="1"/>
    <col min="3589" max="3589" width="17.109375" style="359" bestFit="1" customWidth="1"/>
    <col min="3590" max="3590" width="4" style="359" customWidth="1"/>
    <col min="3591" max="3591" width="13.6640625" style="359" customWidth="1"/>
    <col min="3592" max="3833" width="13.6640625" style="359"/>
    <col min="3834" max="3834" width="22.109375" style="359" customWidth="1"/>
    <col min="3835" max="3841" width="13.6640625" style="359" customWidth="1"/>
    <col min="3842" max="3842" width="15.88671875" style="359" customWidth="1"/>
    <col min="3843" max="3843" width="16.5546875" style="359" bestFit="1" customWidth="1"/>
    <col min="3844" max="3844" width="13.6640625" style="359" customWidth="1"/>
    <col min="3845" max="3845" width="17.109375" style="359" bestFit="1" customWidth="1"/>
    <col min="3846" max="3846" width="4" style="359" customWidth="1"/>
    <col min="3847" max="3847" width="13.6640625" style="359" customWidth="1"/>
    <col min="3848" max="4089" width="13.6640625" style="359"/>
    <col min="4090" max="4090" width="22.109375" style="359" customWidth="1"/>
    <col min="4091" max="4097" width="13.6640625" style="359" customWidth="1"/>
    <col min="4098" max="4098" width="15.88671875" style="359" customWidth="1"/>
    <col min="4099" max="4099" width="16.5546875" style="359" bestFit="1" customWidth="1"/>
    <col min="4100" max="4100" width="13.6640625" style="359" customWidth="1"/>
    <col min="4101" max="4101" width="17.109375" style="359" bestFit="1" customWidth="1"/>
    <col min="4102" max="4102" width="4" style="359" customWidth="1"/>
    <col min="4103" max="4103" width="13.6640625" style="359" customWidth="1"/>
    <col min="4104" max="4345" width="13.6640625" style="359"/>
    <col min="4346" max="4346" width="22.109375" style="359" customWidth="1"/>
    <col min="4347" max="4353" width="13.6640625" style="359" customWidth="1"/>
    <col min="4354" max="4354" width="15.88671875" style="359" customWidth="1"/>
    <col min="4355" max="4355" width="16.5546875" style="359" bestFit="1" customWidth="1"/>
    <col min="4356" max="4356" width="13.6640625" style="359" customWidth="1"/>
    <col min="4357" max="4357" width="17.109375" style="359" bestFit="1" customWidth="1"/>
    <col min="4358" max="4358" width="4" style="359" customWidth="1"/>
    <col min="4359" max="4359" width="13.6640625" style="359" customWidth="1"/>
    <col min="4360" max="4601" width="13.6640625" style="359"/>
    <col min="4602" max="4602" width="22.109375" style="359" customWidth="1"/>
    <col min="4603" max="4609" width="13.6640625" style="359" customWidth="1"/>
    <col min="4610" max="4610" width="15.88671875" style="359" customWidth="1"/>
    <col min="4611" max="4611" width="16.5546875" style="359" bestFit="1" customWidth="1"/>
    <col min="4612" max="4612" width="13.6640625" style="359" customWidth="1"/>
    <col min="4613" max="4613" width="17.109375" style="359" bestFit="1" customWidth="1"/>
    <col min="4614" max="4614" width="4" style="359" customWidth="1"/>
    <col min="4615" max="4615" width="13.6640625" style="359" customWidth="1"/>
    <col min="4616" max="4857" width="13.6640625" style="359"/>
    <col min="4858" max="4858" width="22.109375" style="359" customWidth="1"/>
    <col min="4859" max="4865" width="13.6640625" style="359" customWidth="1"/>
    <col min="4866" max="4866" width="15.88671875" style="359" customWidth="1"/>
    <col min="4867" max="4867" width="16.5546875" style="359" bestFit="1" customWidth="1"/>
    <col min="4868" max="4868" width="13.6640625" style="359" customWidth="1"/>
    <col min="4869" max="4869" width="17.109375" style="359" bestFit="1" customWidth="1"/>
    <col min="4870" max="4870" width="4" style="359" customWidth="1"/>
    <col min="4871" max="4871" width="13.6640625" style="359" customWidth="1"/>
    <col min="4872" max="5113" width="13.6640625" style="359"/>
    <col min="5114" max="5114" width="22.109375" style="359" customWidth="1"/>
    <col min="5115" max="5121" width="13.6640625" style="359" customWidth="1"/>
    <col min="5122" max="5122" width="15.88671875" style="359" customWidth="1"/>
    <col min="5123" max="5123" width="16.5546875" style="359" bestFit="1" customWidth="1"/>
    <col min="5124" max="5124" width="13.6640625" style="359" customWidth="1"/>
    <col min="5125" max="5125" width="17.109375" style="359" bestFit="1" customWidth="1"/>
    <col min="5126" max="5126" width="4" style="359" customWidth="1"/>
    <col min="5127" max="5127" width="13.6640625" style="359" customWidth="1"/>
    <col min="5128" max="5369" width="13.6640625" style="359"/>
    <col min="5370" max="5370" width="22.109375" style="359" customWidth="1"/>
    <col min="5371" max="5377" width="13.6640625" style="359" customWidth="1"/>
    <col min="5378" max="5378" width="15.88671875" style="359" customWidth="1"/>
    <col min="5379" max="5379" width="16.5546875" style="359" bestFit="1" customWidth="1"/>
    <col min="5380" max="5380" width="13.6640625" style="359" customWidth="1"/>
    <col min="5381" max="5381" width="17.109375" style="359" bestFit="1" customWidth="1"/>
    <col min="5382" max="5382" width="4" style="359" customWidth="1"/>
    <col min="5383" max="5383" width="13.6640625" style="359" customWidth="1"/>
    <col min="5384" max="5625" width="13.6640625" style="359"/>
    <col min="5626" max="5626" width="22.109375" style="359" customWidth="1"/>
    <col min="5627" max="5633" width="13.6640625" style="359" customWidth="1"/>
    <col min="5634" max="5634" width="15.88671875" style="359" customWidth="1"/>
    <col min="5635" max="5635" width="16.5546875" style="359" bestFit="1" customWidth="1"/>
    <col min="5636" max="5636" width="13.6640625" style="359" customWidth="1"/>
    <col min="5637" max="5637" width="17.109375" style="359" bestFit="1" customWidth="1"/>
    <col min="5638" max="5638" width="4" style="359" customWidth="1"/>
    <col min="5639" max="5639" width="13.6640625" style="359" customWidth="1"/>
    <col min="5640" max="5881" width="13.6640625" style="359"/>
    <col min="5882" max="5882" width="22.109375" style="359" customWidth="1"/>
    <col min="5883" max="5889" width="13.6640625" style="359" customWidth="1"/>
    <col min="5890" max="5890" width="15.88671875" style="359" customWidth="1"/>
    <col min="5891" max="5891" width="16.5546875" style="359" bestFit="1" customWidth="1"/>
    <col min="5892" max="5892" width="13.6640625" style="359" customWidth="1"/>
    <col min="5893" max="5893" width="17.109375" style="359" bestFit="1" customWidth="1"/>
    <col min="5894" max="5894" width="4" style="359" customWidth="1"/>
    <col min="5895" max="5895" width="13.6640625" style="359" customWidth="1"/>
    <col min="5896" max="6137" width="13.6640625" style="359"/>
    <col min="6138" max="6138" width="22.109375" style="359" customWidth="1"/>
    <col min="6139" max="6145" width="13.6640625" style="359" customWidth="1"/>
    <col min="6146" max="6146" width="15.88671875" style="359" customWidth="1"/>
    <col min="6147" max="6147" width="16.5546875" style="359" bestFit="1" customWidth="1"/>
    <col min="6148" max="6148" width="13.6640625" style="359" customWidth="1"/>
    <col min="6149" max="6149" width="17.109375" style="359" bestFit="1" customWidth="1"/>
    <col min="6150" max="6150" width="4" style="359" customWidth="1"/>
    <col min="6151" max="6151" width="13.6640625" style="359" customWidth="1"/>
    <col min="6152" max="6393" width="13.6640625" style="359"/>
    <col min="6394" max="6394" width="22.109375" style="359" customWidth="1"/>
    <col min="6395" max="6401" width="13.6640625" style="359" customWidth="1"/>
    <col min="6402" max="6402" width="15.88671875" style="359" customWidth="1"/>
    <col min="6403" max="6403" width="16.5546875" style="359" bestFit="1" customWidth="1"/>
    <col min="6404" max="6404" width="13.6640625" style="359" customWidth="1"/>
    <col min="6405" max="6405" width="17.109375" style="359" bestFit="1" customWidth="1"/>
    <col min="6406" max="6406" width="4" style="359" customWidth="1"/>
    <col min="6407" max="6407" width="13.6640625" style="359" customWidth="1"/>
    <col min="6408" max="6649" width="13.6640625" style="359"/>
    <col min="6650" max="6650" width="22.109375" style="359" customWidth="1"/>
    <col min="6651" max="6657" width="13.6640625" style="359" customWidth="1"/>
    <col min="6658" max="6658" width="15.88671875" style="359" customWidth="1"/>
    <col min="6659" max="6659" width="16.5546875" style="359" bestFit="1" customWidth="1"/>
    <col min="6660" max="6660" width="13.6640625" style="359" customWidth="1"/>
    <col min="6661" max="6661" width="17.109375" style="359" bestFit="1" customWidth="1"/>
    <col min="6662" max="6662" width="4" style="359" customWidth="1"/>
    <col min="6663" max="6663" width="13.6640625" style="359" customWidth="1"/>
    <col min="6664" max="6905" width="13.6640625" style="359"/>
    <col min="6906" max="6906" width="22.109375" style="359" customWidth="1"/>
    <col min="6907" max="6913" width="13.6640625" style="359" customWidth="1"/>
    <col min="6914" max="6914" width="15.88671875" style="359" customWidth="1"/>
    <col min="6915" max="6915" width="16.5546875" style="359" bestFit="1" customWidth="1"/>
    <col min="6916" max="6916" width="13.6640625" style="359" customWidth="1"/>
    <col min="6917" max="6917" width="17.109375" style="359" bestFit="1" customWidth="1"/>
    <col min="6918" max="6918" width="4" style="359" customWidth="1"/>
    <col min="6919" max="6919" width="13.6640625" style="359" customWidth="1"/>
    <col min="6920" max="7161" width="13.6640625" style="359"/>
    <col min="7162" max="7162" width="22.109375" style="359" customWidth="1"/>
    <col min="7163" max="7169" width="13.6640625" style="359" customWidth="1"/>
    <col min="7170" max="7170" width="15.88671875" style="359" customWidth="1"/>
    <col min="7171" max="7171" width="16.5546875" style="359" bestFit="1" customWidth="1"/>
    <col min="7172" max="7172" width="13.6640625" style="359" customWidth="1"/>
    <col min="7173" max="7173" width="17.109375" style="359" bestFit="1" customWidth="1"/>
    <col min="7174" max="7174" width="4" style="359" customWidth="1"/>
    <col min="7175" max="7175" width="13.6640625" style="359" customWidth="1"/>
    <col min="7176" max="7417" width="13.6640625" style="359"/>
    <col min="7418" max="7418" width="22.109375" style="359" customWidth="1"/>
    <col min="7419" max="7425" width="13.6640625" style="359" customWidth="1"/>
    <col min="7426" max="7426" width="15.88671875" style="359" customWidth="1"/>
    <col min="7427" max="7427" width="16.5546875" style="359" bestFit="1" customWidth="1"/>
    <col min="7428" max="7428" width="13.6640625" style="359" customWidth="1"/>
    <col min="7429" max="7429" width="17.109375" style="359" bestFit="1" customWidth="1"/>
    <col min="7430" max="7430" width="4" style="359" customWidth="1"/>
    <col min="7431" max="7431" width="13.6640625" style="359" customWidth="1"/>
    <col min="7432" max="7673" width="13.6640625" style="359"/>
    <col min="7674" max="7674" width="22.109375" style="359" customWidth="1"/>
    <col min="7675" max="7681" width="13.6640625" style="359" customWidth="1"/>
    <col min="7682" max="7682" width="15.88671875" style="359" customWidth="1"/>
    <col min="7683" max="7683" width="16.5546875" style="359" bestFit="1" customWidth="1"/>
    <col min="7684" max="7684" width="13.6640625" style="359" customWidth="1"/>
    <col min="7685" max="7685" width="17.109375" style="359" bestFit="1" customWidth="1"/>
    <col min="7686" max="7686" width="4" style="359" customWidth="1"/>
    <col min="7687" max="7687" width="13.6640625" style="359" customWidth="1"/>
    <col min="7688" max="7929" width="13.6640625" style="359"/>
    <col min="7930" max="7930" width="22.109375" style="359" customWidth="1"/>
    <col min="7931" max="7937" width="13.6640625" style="359" customWidth="1"/>
    <col min="7938" max="7938" width="15.88671875" style="359" customWidth="1"/>
    <col min="7939" max="7939" width="16.5546875" style="359" bestFit="1" customWidth="1"/>
    <col min="7940" max="7940" width="13.6640625" style="359" customWidth="1"/>
    <col min="7941" max="7941" width="17.109375" style="359" bestFit="1" customWidth="1"/>
    <col min="7942" max="7942" width="4" style="359" customWidth="1"/>
    <col min="7943" max="7943" width="13.6640625" style="359" customWidth="1"/>
    <col min="7944" max="8185" width="13.6640625" style="359"/>
    <col min="8186" max="8186" width="22.109375" style="359" customWidth="1"/>
    <col min="8187" max="8193" width="13.6640625" style="359" customWidth="1"/>
    <col min="8194" max="8194" width="15.88671875" style="359" customWidth="1"/>
    <col min="8195" max="8195" width="16.5546875" style="359" bestFit="1" customWidth="1"/>
    <col min="8196" max="8196" width="13.6640625" style="359" customWidth="1"/>
    <col min="8197" max="8197" width="17.109375" style="359" bestFit="1" customWidth="1"/>
    <col min="8198" max="8198" width="4" style="359" customWidth="1"/>
    <col min="8199" max="8199" width="13.6640625" style="359" customWidth="1"/>
    <col min="8200" max="8441" width="13.6640625" style="359"/>
    <col min="8442" max="8442" width="22.109375" style="359" customWidth="1"/>
    <col min="8443" max="8449" width="13.6640625" style="359" customWidth="1"/>
    <col min="8450" max="8450" width="15.88671875" style="359" customWidth="1"/>
    <col min="8451" max="8451" width="16.5546875" style="359" bestFit="1" customWidth="1"/>
    <col min="8452" max="8452" width="13.6640625" style="359" customWidth="1"/>
    <col min="8453" max="8453" width="17.109375" style="359" bestFit="1" customWidth="1"/>
    <col min="8454" max="8454" width="4" style="359" customWidth="1"/>
    <col min="8455" max="8455" width="13.6640625" style="359" customWidth="1"/>
    <col min="8456" max="8697" width="13.6640625" style="359"/>
    <col min="8698" max="8698" width="22.109375" style="359" customWidth="1"/>
    <col min="8699" max="8705" width="13.6640625" style="359" customWidth="1"/>
    <col min="8706" max="8706" width="15.88671875" style="359" customWidth="1"/>
    <col min="8707" max="8707" width="16.5546875" style="359" bestFit="1" customWidth="1"/>
    <col min="8708" max="8708" width="13.6640625" style="359" customWidth="1"/>
    <col min="8709" max="8709" width="17.109375" style="359" bestFit="1" customWidth="1"/>
    <col min="8710" max="8710" width="4" style="359" customWidth="1"/>
    <col min="8711" max="8711" width="13.6640625" style="359" customWidth="1"/>
    <col min="8712" max="8953" width="13.6640625" style="359"/>
    <col min="8954" max="8954" width="22.109375" style="359" customWidth="1"/>
    <col min="8955" max="8961" width="13.6640625" style="359" customWidth="1"/>
    <col min="8962" max="8962" width="15.88671875" style="359" customWidth="1"/>
    <col min="8963" max="8963" width="16.5546875" style="359" bestFit="1" customWidth="1"/>
    <col min="8964" max="8964" width="13.6640625" style="359" customWidth="1"/>
    <col min="8965" max="8965" width="17.109375" style="359" bestFit="1" customWidth="1"/>
    <col min="8966" max="8966" width="4" style="359" customWidth="1"/>
    <col min="8967" max="8967" width="13.6640625" style="359" customWidth="1"/>
    <col min="8968" max="9209" width="13.6640625" style="359"/>
    <col min="9210" max="9210" width="22.109375" style="359" customWidth="1"/>
    <col min="9211" max="9217" width="13.6640625" style="359" customWidth="1"/>
    <col min="9218" max="9218" width="15.88671875" style="359" customWidth="1"/>
    <col min="9219" max="9219" width="16.5546875" style="359" bestFit="1" customWidth="1"/>
    <col min="9220" max="9220" width="13.6640625" style="359" customWidth="1"/>
    <col min="9221" max="9221" width="17.109375" style="359" bestFit="1" customWidth="1"/>
    <col min="9222" max="9222" width="4" style="359" customWidth="1"/>
    <col min="9223" max="9223" width="13.6640625" style="359" customWidth="1"/>
    <col min="9224" max="9465" width="13.6640625" style="359"/>
    <col min="9466" max="9466" width="22.109375" style="359" customWidth="1"/>
    <col min="9467" max="9473" width="13.6640625" style="359" customWidth="1"/>
    <col min="9474" max="9474" width="15.88671875" style="359" customWidth="1"/>
    <col min="9475" max="9475" width="16.5546875" style="359" bestFit="1" customWidth="1"/>
    <col min="9476" max="9476" width="13.6640625" style="359" customWidth="1"/>
    <col min="9477" max="9477" width="17.109375" style="359" bestFit="1" customWidth="1"/>
    <col min="9478" max="9478" width="4" style="359" customWidth="1"/>
    <col min="9479" max="9479" width="13.6640625" style="359" customWidth="1"/>
    <col min="9480" max="9721" width="13.6640625" style="359"/>
    <col min="9722" max="9722" width="22.109375" style="359" customWidth="1"/>
    <col min="9723" max="9729" width="13.6640625" style="359" customWidth="1"/>
    <col min="9730" max="9730" width="15.88671875" style="359" customWidth="1"/>
    <col min="9731" max="9731" width="16.5546875" style="359" bestFit="1" customWidth="1"/>
    <col min="9732" max="9732" width="13.6640625" style="359" customWidth="1"/>
    <col min="9733" max="9733" width="17.109375" style="359" bestFit="1" customWidth="1"/>
    <col min="9734" max="9734" width="4" style="359" customWidth="1"/>
    <col min="9735" max="9735" width="13.6640625" style="359" customWidth="1"/>
    <col min="9736" max="9977" width="13.6640625" style="359"/>
    <col min="9978" max="9978" width="22.109375" style="359" customWidth="1"/>
    <col min="9979" max="9985" width="13.6640625" style="359" customWidth="1"/>
    <col min="9986" max="9986" width="15.88671875" style="359" customWidth="1"/>
    <col min="9987" max="9987" width="16.5546875" style="359" bestFit="1" customWidth="1"/>
    <col min="9988" max="9988" width="13.6640625" style="359" customWidth="1"/>
    <col min="9989" max="9989" width="17.109375" style="359" bestFit="1" customWidth="1"/>
    <col min="9990" max="9990" width="4" style="359" customWidth="1"/>
    <col min="9991" max="9991" width="13.6640625" style="359" customWidth="1"/>
    <col min="9992" max="10233" width="13.6640625" style="359"/>
    <col min="10234" max="10234" width="22.109375" style="359" customWidth="1"/>
    <col min="10235" max="10241" width="13.6640625" style="359" customWidth="1"/>
    <col min="10242" max="10242" width="15.88671875" style="359" customWidth="1"/>
    <col min="10243" max="10243" width="16.5546875" style="359" bestFit="1" customWidth="1"/>
    <col min="10244" max="10244" width="13.6640625" style="359" customWidth="1"/>
    <col min="10245" max="10245" width="17.109375" style="359" bestFit="1" customWidth="1"/>
    <col min="10246" max="10246" width="4" style="359" customWidth="1"/>
    <col min="10247" max="10247" width="13.6640625" style="359" customWidth="1"/>
    <col min="10248" max="10489" width="13.6640625" style="359"/>
    <col min="10490" max="10490" width="22.109375" style="359" customWidth="1"/>
    <col min="10491" max="10497" width="13.6640625" style="359" customWidth="1"/>
    <col min="10498" max="10498" width="15.88671875" style="359" customWidth="1"/>
    <col min="10499" max="10499" width="16.5546875" style="359" bestFit="1" customWidth="1"/>
    <col min="10500" max="10500" width="13.6640625" style="359" customWidth="1"/>
    <col min="10501" max="10501" width="17.109375" style="359" bestFit="1" customWidth="1"/>
    <col min="10502" max="10502" width="4" style="359" customWidth="1"/>
    <col min="10503" max="10503" width="13.6640625" style="359" customWidth="1"/>
    <col min="10504" max="10745" width="13.6640625" style="359"/>
    <col min="10746" max="10746" width="22.109375" style="359" customWidth="1"/>
    <col min="10747" max="10753" width="13.6640625" style="359" customWidth="1"/>
    <col min="10754" max="10754" width="15.88671875" style="359" customWidth="1"/>
    <col min="10755" max="10755" width="16.5546875" style="359" bestFit="1" customWidth="1"/>
    <col min="10756" max="10756" width="13.6640625" style="359" customWidth="1"/>
    <col min="10757" max="10757" width="17.109375" style="359" bestFit="1" customWidth="1"/>
    <col min="10758" max="10758" width="4" style="359" customWidth="1"/>
    <col min="10759" max="10759" width="13.6640625" style="359" customWidth="1"/>
    <col min="10760" max="11001" width="13.6640625" style="359"/>
    <col min="11002" max="11002" width="22.109375" style="359" customWidth="1"/>
    <col min="11003" max="11009" width="13.6640625" style="359" customWidth="1"/>
    <col min="11010" max="11010" width="15.88671875" style="359" customWidth="1"/>
    <col min="11011" max="11011" width="16.5546875" style="359" bestFit="1" customWidth="1"/>
    <col min="11012" max="11012" width="13.6640625" style="359" customWidth="1"/>
    <col min="11013" max="11013" width="17.109375" style="359" bestFit="1" customWidth="1"/>
    <col min="11014" max="11014" width="4" style="359" customWidth="1"/>
    <col min="11015" max="11015" width="13.6640625" style="359" customWidth="1"/>
    <col min="11016" max="11257" width="13.6640625" style="359"/>
    <col min="11258" max="11258" width="22.109375" style="359" customWidth="1"/>
    <col min="11259" max="11265" width="13.6640625" style="359" customWidth="1"/>
    <col min="11266" max="11266" width="15.88671875" style="359" customWidth="1"/>
    <col min="11267" max="11267" width="16.5546875" style="359" bestFit="1" customWidth="1"/>
    <col min="11268" max="11268" width="13.6640625" style="359" customWidth="1"/>
    <col min="11269" max="11269" width="17.109375" style="359" bestFit="1" customWidth="1"/>
    <col min="11270" max="11270" width="4" style="359" customWidth="1"/>
    <col min="11271" max="11271" width="13.6640625" style="359" customWidth="1"/>
    <col min="11272" max="11513" width="13.6640625" style="359"/>
    <col min="11514" max="11514" width="22.109375" style="359" customWidth="1"/>
    <col min="11515" max="11521" width="13.6640625" style="359" customWidth="1"/>
    <col min="11522" max="11522" width="15.88671875" style="359" customWidth="1"/>
    <col min="11523" max="11523" width="16.5546875" style="359" bestFit="1" customWidth="1"/>
    <col min="11524" max="11524" width="13.6640625" style="359" customWidth="1"/>
    <col min="11525" max="11525" width="17.109375" style="359" bestFit="1" customWidth="1"/>
    <col min="11526" max="11526" width="4" style="359" customWidth="1"/>
    <col min="11527" max="11527" width="13.6640625" style="359" customWidth="1"/>
    <col min="11528" max="11769" width="13.6640625" style="359"/>
    <col min="11770" max="11770" width="22.109375" style="359" customWidth="1"/>
    <col min="11771" max="11777" width="13.6640625" style="359" customWidth="1"/>
    <col min="11778" max="11778" width="15.88671875" style="359" customWidth="1"/>
    <col min="11779" max="11779" width="16.5546875" style="359" bestFit="1" customWidth="1"/>
    <col min="11780" max="11780" width="13.6640625" style="359" customWidth="1"/>
    <col min="11781" max="11781" width="17.109375" style="359" bestFit="1" customWidth="1"/>
    <col min="11782" max="11782" width="4" style="359" customWidth="1"/>
    <col min="11783" max="11783" width="13.6640625" style="359" customWidth="1"/>
    <col min="11784" max="12025" width="13.6640625" style="359"/>
    <col min="12026" max="12026" width="22.109375" style="359" customWidth="1"/>
    <col min="12027" max="12033" width="13.6640625" style="359" customWidth="1"/>
    <col min="12034" max="12034" width="15.88671875" style="359" customWidth="1"/>
    <col min="12035" max="12035" width="16.5546875" style="359" bestFit="1" customWidth="1"/>
    <col min="12036" max="12036" width="13.6640625" style="359" customWidth="1"/>
    <col min="12037" max="12037" width="17.109375" style="359" bestFit="1" customWidth="1"/>
    <col min="12038" max="12038" width="4" style="359" customWidth="1"/>
    <col min="12039" max="12039" width="13.6640625" style="359" customWidth="1"/>
    <col min="12040" max="12281" width="13.6640625" style="359"/>
    <col min="12282" max="12282" width="22.109375" style="359" customWidth="1"/>
    <col min="12283" max="12289" width="13.6640625" style="359" customWidth="1"/>
    <col min="12290" max="12290" width="15.88671875" style="359" customWidth="1"/>
    <col min="12291" max="12291" width="16.5546875" style="359" bestFit="1" customWidth="1"/>
    <col min="12292" max="12292" width="13.6640625" style="359" customWidth="1"/>
    <col min="12293" max="12293" width="17.109375" style="359" bestFit="1" customWidth="1"/>
    <col min="12294" max="12294" width="4" style="359" customWidth="1"/>
    <col min="12295" max="12295" width="13.6640625" style="359" customWidth="1"/>
    <col min="12296" max="12537" width="13.6640625" style="359"/>
    <col min="12538" max="12538" width="22.109375" style="359" customWidth="1"/>
    <col min="12539" max="12545" width="13.6640625" style="359" customWidth="1"/>
    <col min="12546" max="12546" width="15.88671875" style="359" customWidth="1"/>
    <col min="12547" max="12547" width="16.5546875" style="359" bestFit="1" customWidth="1"/>
    <col min="12548" max="12548" width="13.6640625" style="359" customWidth="1"/>
    <col min="12549" max="12549" width="17.109375" style="359" bestFit="1" customWidth="1"/>
    <col min="12550" max="12550" width="4" style="359" customWidth="1"/>
    <col min="12551" max="12551" width="13.6640625" style="359" customWidth="1"/>
    <col min="12552" max="12793" width="13.6640625" style="359"/>
    <col min="12794" max="12794" width="22.109375" style="359" customWidth="1"/>
    <col min="12795" max="12801" width="13.6640625" style="359" customWidth="1"/>
    <col min="12802" max="12802" width="15.88671875" style="359" customWidth="1"/>
    <col min="12803" max="12803" width="16.5546875" style="359" bestFit="1" customWidth="1"/>
    <col min="12804" max="12804" width="13.6640625" style="359" customWidth="1"/>
    <col min="12805" max="12805" width="17.109375" style="359" bestFit="1" customWidth="1"/>
    <col min="12806" max="12806" width="4" style="359" customWidth="1"/>
    <col min="12807" max="12807" width="13.6640625" style="359" customWidth="1"/>
    <col min="12808" max="13049" width="13.6640625" style="359"/>
    <col min="13050" max="13050" width="22.109375" style="359" customWidth="1"/>
    <col min="13051" max="13057" width="13.6640625" style="359" customWidth="1"/>
    <col min="13058" max="13058" width="15.88671875" style="359" customWidth="1"/>
    <col min="13059" max="13059" width="16.5546875" style="359" bestFit="1" customWidth="1"/>
    <col min="13060" max="13060" width="13.6640625" style="359" customWidth="1"/>
    <col min="13061" max="13061" width="17.109375" style="359" bestFit="1" customWidth="1"/>
    <col min="13062" max="13062" width="4" style="359" customWidth="1"/>
    <col min="13063" max="13063" width="13.6640625" style="359" customWidth="1"/>
    <col min="13064" max="13305" width="13.6640625" style="359"/>
    <col min="13306" max="13306" width="22.109375" style="359" customWidth="1"/>
    <col min="13307" max="13313" width="13.6640625" style="359" customWidth="1"/>
    <col min="13314" max="13314" width="15.88671875" style="359" customWidth="1"/>
    <col min="13315" max="13315" width="16.5546875" style="359" bestFit="1" customWidth="1"/>
    <col min="13316" max="13316" width="13.6640625" style="359" customWidth="1"/>
    <col min="13317" max="13317" width="17.109375" style="359" bestFit="1" customWidth="1"/>
    <col min="13318" max="13318" width="4" style="359" customWidth="1"/>
    <col min="13319" max="13319" width="13.6640625" style="359" customWidth="1"/>
    <col min="13320" max="13561" width="13.6640625" style="359"/>
    <col min="13562" max="13562" width="22.109375" style="359" customWidth="1"/>
    <col min="13563" max="13569" width="13.6640625" style="359" customWidth="1"/>
    <col min="13570" max="13570" width="15.88671875" style="359" customWidth="1"/>
    <col min="13571" max="13571" width="16.5546875" style="359" bestFit="1" customWidth="1"/>
    <col min="13572" max="13572" width="13.6640625" style="359" customWidth="1"/>
    <col min="13573" max="13573" width="17.109375" style="359" bestFit="1" customWidth="1"/>
    <col min="13574" max="13574" width="4" style="359" customWidth="1"/>
    <col min="13575" max="13575" width="13.6640625" style="359" customWidth="1"/>
    <col min="13576" max="13817" width="13.6640625" style="359"/>
    <col min="13818" max="13818" width="22.109375" style="359" customWidth="1"/>
    <col min="13819" max="13825" width="13.6640625" style="359" customWidth="1"/>
    <col min="13826" max="13826" width="15.88671875" style="359" customWidth="1"/>
    <col min="13827" max="13827" width="16.5546875" style="359" bestFit="1" customWidth="1"/>
    <col min="13828" max="13828" width="13.6640625" style="359" customWidth="1"/>
    <col min="13829" max="13829" width="17.109375" style="359" bestFit="1" customWidth="1"/>
    <col min="13830" max="13830" width="4" style="359" customWidth="1"/>
    <col min="13831" max="13831" width="13.6640625" style="359" customWidth="1"/>
    <col min="13832" max="14073" width="13.6640625" style="359"/>
    <col min="14074" max="14074" width="22.109375" style="359" customWidth="1"/>
    <col min="14075" max="14081" width="13.6640625" style="359" customWidth="1"/>
    <col min="14082" max="14082" width="15.88671875" style="359" customWidth="1"/>
    <col min="14083" max="14083" width="16.5546875" style="359" bestFit="1" customWidth="1"/>
    <col min="14084" max="14084" width="13.6640625" style="359" customWidth="1"/>
    <col min="14085" max="14085" width="17.109375" style="359" bestFit="1" customWidth="1"/>
    <col min="14086" max="14086" width="4" style="359" customWidth="1"/>
    <col min="14087" max="14087" width="13.6640625" style="359" customWidth="1"/>
    <col min="14088" max="14329" width="13.6640625" style="359"/>
    <col min="14330" max="14330" width="22.109375" style="359" customWidth="1"/>
    <col min="14331" max="14337" width="13.6640625" style="359" customWidth="1"/>
    <col min="14338" max="14338" width="15.88671875" style="359" customWidth="1"/>
    <col min="14339" max="14339" width="16.5546875" style="359" bestFit="1" customWidth="1"/>
    <col min="14340" max="14340" width="13.6640625" style="359" customWidth="1"/>
    <col min="14341" max="14341" width="17.109375" style="359" bestFit="1" customWidth="1"/>
    <col min="14342" max="14342" width="4" style="359" customWidth="1"/>
    <col min="14343" max="14343" width="13.6640625" style="359" customWidth="1"/>
    <col min="14344" max="14585" width="13.6640625" style="359"/>
    <col min="14586" max="14586" width="22.109375" style="359" customWidth="1"/>
    <col min="14587" max="14593" width="13.6640625" style="359" customWidth="1"/>
    <col min="14594" max="14594" width="15.88671875" style="359" customWidth="1"/>
    <col min="14595" max="14595" width="16.5546875" style="359" bestFit="1" customWidth="1"/>
    <col min="14596" max="14596" width="13.6640625" style="359" customWidth="1"/>
    <col min="14597" max="14597" width="17.109375" style="359" bestFit="1" customWidth="1"/>
    <col min="14598" max="14598" width="4" style="359" customWidth="1"/>
    <col min="14599" max="14599" width="13.6640625" style="359" customWidth="1"/>
    <col min="14600" max="14841" width="13.6640625" style="359"/>
    <col min="14842" max="14842" width="22.109375" style="359" customWidth="1"/>
    <col min="14843" max="14849" width="13.6640625" style="359" customWidth="1"/>
    <col min="14850" max="14850" width="15.88671875" style="359" customWidth="1"/>
    <col min="14851" max="14851" width="16.5546875" style="359" bestFit="1" customWidth="1"/>
    <col min="14852" max="14852" width="13.6640625" style="359" customWidth="1"/>
    <col min="14853" max="14853" width="17.109375" style="359" bestFit="1" customWidth="1"/>
    <col min="14854" max="14854" width="4" style="359" customWidth="1"/>
    <col min="14855" max="14855" width="13.6640625" style="359" customWidth="1"/>
    <col min="14856" max="15097" width="13.6640625" style="359"/>
    <col min="15098" max="15098" width="22.109375" style="359" customWidth="1"/>
    <col min="15099" max="15105" width="13.6640625" style="359" customWidth="1"/>
    <col min="15106" max="15106" width="15.88671875" style="359" customWidth="1"/>
    <col min="15107" max="15107" width="16.5546875" style="359" bestFit="1" customWidth="1"/>
    <col min="15108" max="15108" width="13.6640625" style="359" customWidth="1"/>
    <col min="15109" max="15109" width="17.109375" style="359" bestFit="1" customWidth="1"/>
    <col min="15110" max="15110" width="4" style="359" customWidth="1"/>
    <col min="15111" max="15111" width="13.6640625" style="359" customWidth="1"/>
    <col min="15112" max="15353" width="13.6640625" style="359"/>
    <col min="15354" max="15354" width="22.109375" style="359" customWidth="1"/>
    <col min="15355" max="15361" width="13.6640625" style="359" customWidth="1"/>
    <col min="15362" max="15362" width="15.88671875" style="359" customWidth="1"/>
    <col min="15363" max="15363" width="16.5546875" style="359" bestFit="1" customWidth="1"/>
    <col min="15364" max="15364" width="13.6640625" style="359" customWidth="1"/>
    <col min="15365" max="15365" width="17.109375" style="359" bestFit="1" customWidth="1"/>
    <col min="15366" max="15366" width="4" style="359" customWidth="1"/>
    <col min="15367" max="15367" width="13.6640625" style="359" customWidth="1"/>
    <col min="15368" max="15609" width="13.6640625" style="359"/>
    <col min="15610" max="15610" width="22.109375" style="359" customWidth="1"/>
    <col min="15611" max="15617" width="13.6640625" style="359" customWidth="1"/>
    <col min="15618" max="15618" width="15.88671875" style="359" customWidth="1"/>
    <col min="15619" max="15619" width="16.5546875" style="359" bestFit="1" customWidth="1"/>
    <col min="15620" max="15620" width="13.6640625" style="359" customWidth="1"/>
    <col min="15621" max="15621" width="17.109375" style="359" bestFit="1" customWidth="1"/>
    <col min="15622" max="15622" width="4" style="359" customWidth="1"/>
    <col min="15623" max="15623" width="13.6640625" style="359" customWidth="1"/>
    <col min="15624" max="15865" width="13.6640625" style="359"/>
    <col min="15866" max="15866" width="22.109375" style="359" customWidth="1"/>
    <col min="15867" max="15873" width="13.6640625" style="359" customWidth="1"/>
    <col min="15874" max="15874" width="15.88671875" style="359" customWidth="1"/>
    <col min="15875" max="15875" width="16.5546875" style="359" bestFit="1" customWidth="1"/>
    <col min="15876" max="15876" width="13.6640625" style="359" customWidth="1"/>
    <col min="15877" max="15877" width="17.109375" style="359" bestFit="1" customWidth="1"/>
    <col min="15878" max="15878" width="4" style="359" customWidth="1"/>
    <col min="15879" max="15879" width="13.6640625" style="359" customWidth="1"/>
    <col min="15880" max="16121" width="13.6640625" style="359"/>
    <col min="16122" max="16122" width="22.109375" style="359" customWidth="1"/>
    <col min="16123" max="16129" width="13.6640625" style="359" customWidth="1"/>
    <col min="16130" max="16130" width="15.88671875" style="359" customWidth="1"/>
    <col min="16131" max="16131" width="16.5546875" style="359" bestFit="1" customWidth="1"/>
    <col min="16132" max="16132" width="13.6640625" style="359" customWidth="1"/>
    <col min="16133" max="16133" width="17.109375" style="359" bestFit="1" customWidth="1"/>
    <col min="16134" max="16134" width="4" style="359" customWidth="1"/>
    <col min="16135" max="16135" width="13.6640625" style="359" customWidth="1"/>
    <col min="16136" max="16384" width="13.6640625" style="359"/>
  </cols>
  <sheetData>
    <row r="1" spans="1:28" s="350" customFormat="1">
      <c r="A1" s="412" t="s">
        <v>26</v>
      </c>
      <c r="B1" s="348"/>
      <c r="C1" s="495"/>
      <c r="D1" s="46"/>
      <c r="E1" s="349"/>
      <c r="F1" s="46"/>
      <c r="G1" s="3"/>
    </row>
    <row r="2" spans="1:28" s="350" customFormat="1">
      <c r="A2" s="351"/>
      <c r="B2" s="348"/>
      <c r="C2" s="495"/>
      <c r="D2" s="365" t="s">
        <v>150</v>
      </c>
      <c r="E2" s="365" t="s">
        <v>111</v>
      </c>
      <c r="G2" s="3"/>
    </row>
    <row r="3" spans="1:28" s="350" customFormat="1" ht="15">
      <c r="A3" s="81" t="str">
        <f>'1-Contractblad totaal'!A3</f>
        <v>Naam opdrachtgever</v>
      </c>
      <c r="B3" s="82" t="str">
        <f>'1-Contractblad totaal'!B3</f>
        <v>Elevantio</v>
      </c>
      <c r="C3" s="495"/>
      <c r="D3" s="352" t="s">
        <v>152</v>
      </c>
      <c r="E3" s="425">
        <v>0</v>
      </c>
      <c r="G3" s="3"/>
    </row>
    <row r="4" spans="1:28" s="350" customFormat="1" ht="15">
      <c r="A4" s="81" t="str">
        <f>'1-Contractblad totaal'!A4</f>
        <v>Calculatie onderdeel</v>
      </c>
      <c r="B4" s="82" t="str">
        <f ca="1">MID(CELL("bestandsnaam",$C$9),SEARCH("]",CELL("bestandsnaam",$C$9),1)+1,256)</f>
        <v>10-Glasbewassing</v>
      </c>
      <c r="C4" s="495"/>
      <c r="D4" s="352" t="s">
        <v>151</v>
      </c>
      <c r="E4" s="425">
        <v>0</v>
      </c>
      <c r="G4" s="3"/>
    </row>
    <row r="5" spans="1:28" s="350" customFormat="1" ht="16.95" customHeight="1">
      <c r="A5" s="81" t="str">
        <f>'1-Contractblad totaal'!A5</f>
        <v>Gebouw/plaats</v>
      </c>
      <c r="B5" s="82" t="str">
        <f>'1-Contractblad totaal'!B5</f>
        <v>Markt 1, Axel</v>
      </c>
      <c r="C5" s="496"/>
      <c r="D5" s="616" t="s">
        <v>1045</v>
      </c>
      <c r="E5" s="425">
        <v>0</v>
      </c>
      <c r="G5" s="353"/>
      <c r="H5" s="355"/>
      <c r="I5" s="354"/>
      <c r="L5" s="354"/>
      <c r="M5" s="353"/>
      <c r="N5" s="354"/>
      <c r="O5" s="354"/>
      <c r="P5" s="353"/>
      <c r="Q5" s="355"/>
      <c r="R5" s="354"/>
      <c r="S5" s="353"/>
      <c r="T5" s="354"/>
      <c r="U5" s="354"/>
      <c r="V5" s="353"/>
      <c r="W5" s="354"/>
      <c r="X5" s="354"/>
      <c r="Y5" s="353"/>
      <c r="Z5" s="354"/>
      <c r="AA5" s="354"/>
      <c r="AB5" s="353"/>
    </row>
    <row r="6" spans="1:28" s="350" customFormat="1" ht="17.25" customHeight="1">
      <c r="A6" s="81" t="str">
        <f>'1-Contractblad totaal'!A6</f>
        <v>Referentie nummer</v>
      </c>
      <c r="B6" s="82" t="str">
        <f>'1-Contractblad totaal'!B6</f>
        <v>Elevantio-EA-LK-RT-2022</v>
      </c>
      <c r="C6" s="496"/>
      <c r="D6" s="352" t="s">
        <v>1043</v>
      </c>
      <c r="E6" s="425">
        <v>0</v>
      </c>
      <c r="G6" s="353"/>
      <c r="H6" s="355"/>
      <c r="I6" s="356"/>
      <c r="L6" s="356"/>
      <c r="M6" s="357"/>
      <c r="N6" s="354"/>
      <c r="O6" s="356"/>
      <c r="P6" s="357"/>
      <c r="Q6" s="355"/>
      <c r="R6" s="356"/>
      <c r="S6" s="357"/>
      <c r="T6" s="354"/>
      <c r="U6" s="356"/>
      <c r="V6" s="357"/>
      <c r="W6" s="354"/>
      <c r="X6" s="356"/>
      <c r="Y6" s="357"/>
      <c r="Z6" s="354"/>
      <c r="AA6" s="356"/>
      <c r="AB6" s="357"/>
    </row>
    <row r="7" spans="1:28" s="350" customFormat="1" ht="17.25" customHeight="1">
      <c r="A7" s="81" t="str">
        <f>'1-Contractblad totaal'!A8</f>
        <v>Naam dienstverlener</v>
      </c>
      <c r="B7" s="290">
        <f>'1-Contractblad totaal'!B8</f>
        <v>0</v>
      </c>
      <c r="C7" s="497"/>
      <c r="D7" s="352" t="s">
        <v>1044</v>
      </c>
      <c r="E7" s="425">
        <v>0</v>
      </c>
      <c r="G7" s="353"/>
      <c r="H7" s="353"/>
      <c r="I7" s="353"/>
    </row>
    <row r="8" spans="1:28" s="350" customFormat="1" ht="29.4" customHeight="1">
      <c r="A8" s="81" t="str">
        <f>'1-Contractblad totaal'!A9</f>
        <v>Prijspeil</v>
      </c>
      <c r="B8" s="114">
        <f>'1-Contractblad totaal'!B9</f>
        <v>44652</v>
      </c>
      <c r="C8" s="498"/>
      <c r="D8" s="616" t="s">
        <v>1135</v>
      </c>
      <c r="E8" s="741">
        <v>0</v>
      </c>
      <c r="G8" s="353"/>
      <c r="H8" s="353"/>
      <c r="I8" s="353"/>
    </row>
    <row r="9" spans="1:28" s="358" customFormat="1" ht="25.2" customHeight="1">
      <c r="C9" s="498"/>
      <c r="G9" s="353"/>
      <c r="H9" s="353"/>
      <c r="I9" s="353"/>
    </row>
    <row r="10" spans="1:28" s="448" customFormat="1" ht="43.5" customHeight="1">
      <c r="A10" s="446" t="s">
        <v>103</v>
      </c>
      <c r="B10" s="447" t="s">
        <v>150</v>
      </c>
      <c r="C10" s="499" t="s">
        <v>153</v>
      </c>
      <c r="D10" s="447" t="s">
        <v>183</v>
      </c>
      <c r="E10" s="447" t="s">
        <v>105</v>
      </c>
      <c r="F10" s="447" t="s">
        <v>214</v>
      </c>
      <c r="G10" s="447" t="s">
        <v>154</v>
      </c>
    </row>
    <row r="11" spans="1:28">
      <c r="A11" s="611" t="s">
        <v>227</v>
      </c>
      <c r="B11" s="612" t="s">
        <v>152</v>
      </c>
      <c r="C11" s="621">
        <v>139.86000000000001</v>
      </c>
      <c r="D11" s="445">
        <f>VLOOKUP(B11,$D$3:$E$9,2,FALSE)</f>
        <v>0</v>
      </c>
      <c r="E11" s="360">
        <f t="shared" ref="E11:E61" si="0">C11*D11</f>
        <v>0</v>
      </c>
      <c r="F11" s="361" t="s">
        <v>336</v>
      </c>
      <c r="G11" s="360">
        <f t="shared" ref="G11:G61" si="1">F11*E11</f>
        <v>0</v>
      </c>
    </row>
    <row r="12" spans="1:28">
      <c r="A12" s="611" t="s">
        <v>227</v>
      </c>
      <c r="B12" s="612" t="s">
        <v>151</v>
      </c>
      <c r="C12" s="621">
        <v>139.1</v>
      </c>
      <c r="D12" s="445">
        <f>VLOOKUP(B12,$D$3:$E$9,2,FALSE)</f>
        <v>0</v>
      </c>
      <c r="E12" s="360">
        <f t="shared" si="0"/>
        <v>0</v>
      </c>
      <c r="F12" s="361" t="s">
        <v>337</v>
      </c>
      <c r="G12" s="360">
        <f t="shared" si="1"/>
        <v>0</v>
      </c>
    </row>
    <row r="13" spans="1:28">
      <c r="A13" s="611" t="s">
        <v>227</v>
      </c>
      <c r="B13" s="616" t="s">
        <v>1045</v>
      </c>
      <c r="C13" s="622">
        <v>66.58</v>
      </c>
      <c r="D13" s="445">
        <f>VLOOKUP(B13,$D$3:$E$9,2,FALSE)</f>
        <v>0</v>
      </c>
      <c r="E13" s="360">
        <f t="shared" si="0"/>
        <v>0</v>
      </c>
      <c r="F13" s="361" t="s">
        <v>337</v>
      </c>
      <c r="G13" s="360">
        <f t="shared" si="1"/>
        <v>0</v>
      </c>
    </row>
    <row r="14" spans="1:28">
      <c r="A14" s="605" t="s">
        <v>228</v>
      </c>
      <c r="B14" s="612" t="s">
        <v>152</v>
      </c>
      <c r="C14" s="620">
        <v>120</v>
      </c>
      <c r="D14" s="445">
        <f>VLOOKUP(B14,$D$3:$E$9,2,FALSE)</f>
        <v>0</v>
      </c>
      <c r="E14" s="360">
        <f t="shared" si="0"/>
        <v>0</v>
      </c>
      <c r="F14" s="361" t="s">
        <v>336</v>
      </c>
      <c r="G14" s="360">
        <f t="shared" si="1"/>
        <v>0</v>
      </c>
    </row>
    <row r="15" spans="1:28">
      <c r="A15" s="605" t="s">
        <v>228</v>
      </c>
      <c r="B15" s="612" t="s">
        <v>151</v>
      </c>
      <c r="C15" s="620">
        <v>110</v>
      </c>
      <c r="D15" s="445">
        <f>VLOOKUP(B15,$D$3:$E$9,2,FALSE)</f>
        <v>0</v>
      </c>
      <c r="E15" s="360">
        <f t="shared" si="0"/>
        <v>0</v>
      </c>
      <c r="F15" s="361" t="s">
        <v>337</v>
      </c>
      <c r="G15" s="360">
        <f t="shared" si="1"/>
        <v>0</v>
      </c>
    </row>
    <row r="16" spans="1:28">
      <c r="A16" s="605" t="s">
        <v>228</v>
      </c>
      <c r="B16" s="616" t="s">
        <v>1045</v>
      </c>
      <c r="C16" s="620">
        <v>225</v>
      </c>
      <c r="D16" s="445">
        <f>VLOOKUP(B16,$D$3:$E$9,2,FALSE)</f>
        <v>0</v>
      </c>
      <c r="E16" s="360">
        <f t="shared" si="0"/>
        <v>0</v>
      </c>
      <c r="F16" s="361" t="s">
        <v>337</v>
      </c>
      <c r="G16" s="360">
        <f t="shared" si="1"/>
        <v>0</v>
      </c>
    </row>
    <row r="17" spans="1:7">
      <c r="A17" s="605" t="s">
        <v>229</v>
      </c>
      <c r="B17" s="612" t="s">
        <v>152</v>
      </c>
      <c r="C17" s="620">
        <v>157</v>
      </c>
      <c r="D17" s="445">
        <f>VLOOKUP(B17,$D$3:$E$9,2,FALSE)</f>
        <v>0</v>
      </c>
      <c r="E17" s="360">
        <f t="shared" si="0"/>
        <v>0</v>
      </c>
      <c r="F17" s="361" t="s">
        <v>336</v>
      </c>
      <c r="G17" s="360">
        <f t="shared" si="1"/>
        <v>0</v>
      </c>
    </row>
    <row r="18" spans="1:7">
      <c r="A18" s="605" t="s">
        <v>229</v>
      </c>
      <c r="B18" s="612" t="s">
        <v>151</v>
      </c>
      <c r="C18" s="620">
        <v>157</v>
      </c>
      <c r="D18" s="445">
        <f>VLOOKUP(B18,$D$3:$E$9,2,FALSE)</f>
        <v>0</v>
      </c>
      <c r="E18" s="360">
        <f t="shared" si="0"/>
        <v>0</v>
      </c>
      <c r="F18" s="361" t="s">
        <v>337</v>
      </c>
      <c r="G18" s="360">
        <f t="shared" si="1"/>
        <v>0</v>
      </c>
    </row>
    <row r="19" spans="1:7">
      <c r="A19" s="605" t="s">
        <v>229</v>
      </c>
      <c r="B19" s="616" t="s">
        <v>1045</v>
      </c>
      <c r="C19" s="620">
        <v>90</v>
      </c>
      <c r="D19" s="445">
        <f>VLOOKUP(B19,$D$3:$E$9,2,FALSE)</f>
        <v>0</v>
      </c>
      <c r="E19" s="360">
        <f t="shared" si="0"/>
        <v>0</v>
      </c>
      <c r="F19" s="361" t="s">
        <v>337</v>
      </c>
      <c r="G19" s="360">
        <f t="shared" si="1"/>
        <v>0</v>
      </c>
    </row>
    <row r="20" spans="1:7">
      <c r="A20" s="605" t="s">
        <v>230</v>
      </c>
      <c r="B20" s="612" t="s">
        <v>152</v>
      </c>
      <c r="C20" s="620">
        <v>0</v>
      </c>
      <c r="D20" s="445">
        <f>VLOOKUP(B20,$D$3:$E$9,2,FALSE)</f>
        <v>0</v>
      </c>
      <c r="E20" s="360">
        <f t="shared" si="0"/>
        <v>0</v>
      </c>
      <c r="F20" s="361" t="s">
        <v>336</v>
      </c>
      <c r="G20" s="360">
        <f t="shared" si="1"/>
        <v>0</v>
      </c>
    </row>
    <row r="21" spans="1:7">
      <c r="A21" s="605" t="s">
        <v>230</v>
      </c>
      <c r="B21" s="612" t="s">
        <v>151</v>
      </c>
      <c r="C21" s="620">
        <v>0</v>
      </c>
      <c r="D21" s="445">
        <f>VLOOKUP(B21,$D$3:$E$9,2,FALSE)</f>
        <v>0</v>
      </c>
      <c r="E21" s="360">
        <f t="shared" si="0"/>
        <v>0</v>
      </c>
      <c r="F21" s="361" t="s">
        <v>337</v>
      </c>
      <c r="G21" s="360">
        <f t="shared" si="1"/>
        <v>0</v>
      </c>
    </row>
    <row r="22" spans="1:7">
      <c r="A22" s="605" t="s">
        <v>230</v>
      </c>
      <c r="B22" s="616" t="s">
        <v>1045</v>
      </c>
      <c r="C22" s="620">
        <v>0</v>
      </c>
      <c r="D22" s="445">
        <f>VLOOKUP(B22,$D$3:$E$9,2,FALSE)</f>
        <v>0</v>
      </c>
      <c r="E22" s="360">
        <f t="shared" si="0"/>
        <v>0</v>
      </c>
      <c r="F22" s="361" t="s">
        <v>337</v>
      </c>
      <c r="G22" s="360">
        <f t="shared" si="1"/>
        <v>0</v>
      </c>
    </row>
    <row r="23" spans="1:7">
      <c r="A23" s="605" t="s">
        <v>231</v>
      </c>
      <c r="B23" s="612" t="s">
        <v>152</v>
      </c>
      <c r="C23" s="621">
        <v>202.13</v>
      </c>
      <c r="D23" s="445">
        <f>VLOOKUP(B23,$D$3:$E$9,2,FALSE)</f>
        <v>0</v>
      </c>
      <c r="E23" s="360">
        <f t="shared" si="0"/>
        <v>0</v>
      </c>
      <c r="F23" s="361" t="s">
        <v>336</v>
      </c>
      <c r="G23" s="360">
        <f t="shared" si="1"/>
        <v>0</v>
      </c>
    </row>
    <row r="24" spans="1:7">
      <c r="A24" s="605" t="s">
        <v>231</v>
      </c>
      <c r="B24" s="612" t="s">
        <v>151</v>
      </c>
      <c r="C24" s="621">
        <v>201.03100000000001</v>
      </c>
      <c r="D24" s="445">
        <f>VLOOKUP(B24,$D$3:$E$9,2,FALSE)</f>
        <v>0</v>
      </c>
      <c r="E24" s="360">
        <f t="shared" si="0"/>
        <v>0</v>
      </c>
      <c r="F24" s="361" t="s">
        <v>337</v>
      </c>
      <c r="G24" s="360">
        <f t="shared" si="1"/>
        <v>0</v>
      </c>
    </row>
    <row r="25" spans="1:7">
      <c r="A25" s="605" t="s">
        <v>231</v>
      </c>
      <c r="B25" s="616" t="s">
        <v>1045</v>
      </c>
      <c r="C25" s="622">
        <f>141.49*2</f>
        <v>282.98</v>
      </c>
      <c r="D25" s="445">
        <f>VLOOKUP(B25,$D$3:$E$9,2,FALSE)</f>
        <v>0</v>
      </c>
      <c r="E25" s="360">
        <f t="shared" si="0"/>
        <v>0</v>
      </c>
      <c r="F25" s="361" t="s">
        <v>337</v>
      </c>
      <c r="G25" s="360">
        <f t="shared" si="1"/>
        <v>0</v>
      </c>
    </row>
    <row r="26" spans="1:7">
      <c r="A26" s="605" t="s">
        <v>232</v>
      </c>
      <c r="B26" s="612" t="s">
        <v>152</v>
      </c>
      <c r="C26" s="621">
        <v>206.24</v>
      </c>
      <c r="D26" s="445">
        <f>VLOOKUP(B26,$D$3:$E$9,2,FALSE)</f>
        <v>0</v>
      </c>
      <c r="E26" s="360">
        <f t="shared" si="0"/>
        <v>0</v>
      </c>
      <c r="F26" s="361" t="s">
        <v>336</v>
      </c>
      <c r="G26" s="360">
        <f t="shared" si="1"/>
        <v>0</v>
      </c>
    </row>
    <row r="27" spans="1:7">
      <c r="A27" s="605" t="s">
        <v>232</v>
      </c>
      <c r="B27" s="612" t="s">
        <v>151</v>
      </c>
      <c r="C27" s="621">
        <v>206.24</v>
      </c>
      <c r="D27" s="445">
        <f>VLOOKUP(B27,$D$3:$E$9,2,FALSE)</f>
        <v>0</v>
      </c>
      <c r="E27" s="360">
        <f t="shared" si="0"/>
        <v>0</v>
      </c>
      <c r="F27" s="361" t="s">
        <v>337</v>
      </c>
      <c r="G27" s="360">
        <f t="shared" si="1"/>
        <v>0</v>
      </c>
    </row>
    <row r="28" spans="1:7">
      <c r="A28" s="605" t="s">
        <v>232</v>
      </c>
      <c r="B28" s="616" t="s">
        <v>1045</v>
      </c>
      <c r="C28" s="622">
        <f>30.02*2</f>
        <v>60.04</v>
      </c>
      <c r="D28" s="445">
        <f>VLOOKUP(B28,$D$3:$E$9,2,FALSE)</f>
        <v>0</v>
      </c>
      <c r="E28" s="360">
        <f t="shared" si="0"/>
        <v>0</v>
      </c>
      <c r="F28" s="361" t="s">
        <v>337</v>
      </c>
      <c r="G28" s="360">
        <f t="shared" si="1"/>
        <v>0</v>
      </c>
    </row>
    <row r="29" spans="1:7">
      <c r="A29" s="605" t="s">
        <v>232</v>
      </c>
      <c r="B29" s="352" t="s">
        <v>1043</v>
      </c>
      <c r="C29" s="620">
        <f>40*2</f>
        <v>80</v>
      </c>
      <c r="D29" s="445">
        <f>VLOOKUP(B29,$D$3:$E$9,2,FALSE)</f>
        <v>0</v>
      </c>
      <c r="E29" s="360">
        <f t="shared" ref="E29" si="2">C29*D29</f>
        <v>0</v>
      </c>
      <c r="F29" s="361" t="s">
        <v>337</v>
      </c>
      <c r="G29" s="360">
        <f t="shared" ref="G29" si="3">F29*E29</f>
        <v>0</v>
      </c>
    </row>
    <row r="30" spans="1:7">
      <c r="A30" s="605" t="s">
        <v>232</v>
      </c>
      <c r="B30" s="352" t="s">
        <v>1044</v>
      </c>
      <c r="C30" s="620">
        <f>40*2</f>
        <v>80</v>
      </c>
      <c r="D30" s="445">
        <f>VLOOKUP(B30,$D$3:$E$9,2,FALSE)</f>
        <v>0</v>
      </c>
      <c r="E30" s="360">
        <f t="shared" si="0"/>
        <v>0</v>
      </c>
      <c r="F30" s="361" t="s">
        <v>336</v>
      </c>
      <c r="G30" s="360">
        <f t="shared" si="1"/>
        <v>0</v>
      </c>
    </row>
    <row r="31" spans="1:7">
      <c r="A31" s="605" t="s">
        <v>233</v>
      </c>
      <c r="B31" s="612" t="s">
        <v>152</v>
      </c>
      <c r="C31" s="620">
        <v>88</v>
      </c>
      <c r="D31" s="445">
        <f>VLOOKUP(B31,$D$3:$E$9,2,FALSE)</f>
        <v>0</v>
      </c>
      <c r="E31" s="360">
        <f t="shared" si="0"/>
        <v>0</v>
      </c>
      <c r="F31" s="361" t="s">
        <v>336</v>
      </c>
      <c r="G31" s="360">
        <f t="shared" si="1"/>
        <v>0</v>
      </c>
    </row>
    <row r="32" spans="1:7">
      <c r="A32" s="605" t="s">
        <v>233</v>
      </c>
      <c r="B32" s="612" t="s">
        <v>151</v>
      </c>
      <c r="C32" s="620">
        <v>88</v>
      </c>
      <c r="D32" s="445">
        <f>VLOOKUP(B32,$D$3:$E$9,2,FALSE)</f>
        <v>0</v>
      </c>
      <c r="E32" s="360">
        <f t="shared" si="0"/>
        <v>0</v>
      </c>
      <c r="F32" s="361" t="s">
        <v>337</v>
      </c>
      <c r="G32" s="360">
        <f t="shared" si="1"/>
        <v>0</v>
      </c>
    </row>
    <row r="33" spans="1:7">
      <c r="A33" s="605" t="s">
        <v>233</v>
      </c>
      <c r="B33" s="616" t="s">
        <v>1045</v>
      </c>
      <c r="C33" s="620">
        <v>248</v>
      </c>
      <c r="D33" s="445">
        <f>VLOOKUP(B33,$D$3:$E$9,2,FALSE)</f>
        <v>0</v>
      </c>
      <c r="E33" s="360">
        <f t="shared" si="0"/>
        <v>0</v>
      </c>
      <c r="F33" s="361" t="s">
        <v>337</v>
      </c>
      <c r="G33" s="360">
        <f t="shared" si="1"/>
        <v>0</v>
      </c>
    </row>
    <row r="34" spans="1:7">
      <c r="A34" s="605" t="s">
        <v>277</v>
      </c>
      <c r="B34" s="612" t="s">
        <v>152</v>
      </c>
      <c r="C34" s="623">
        <v>144</v>
      </c>
      <c r="D34" s="445">
        <f>VLOOKUP(B34,$D$3:$E$9,2,FALSE)</f>
        <v>0</v>
      </c>
      <c r="E34" s="360">
        <f t="shared" si="0"/>
        <v>0</v>
      </c>
      <c r="F34" s="361" t="s">
        <v>336</v>
      </c>
      <c r="G34" s="360">
        <f t="shared" si="1"/>
        <v>0</v>
      </c>
    </row>
    <row r="35" spans="1:7">
      <c r="A35" s="605" t="s">
        <v>277</v>
      </c>
      <c r="B35" s="612" t="s">
        <v>151</v>
      </c>
      <c r="C35" s="623">
        <v>144</v>
      </c>
      <c r="D35" s="445">
        <f>VLOOKUP(B35,$D$3:$E$9,2,FALSE)</f>
        <v>0</v>
      </c>
      <c r="E35" s="360">
        <f t="shared" si="0"/>
        <v>0</v>
      </c>
      <c r="F35" s="361" t="s">
        <v>337</v>
      </c>
      <c r="G35" s="360">
        <f t="shared" si="1"/>
        <v>0</v>
      </c>
    </row>
    <row r="36" spans="1:7">
      <c r="A36" s="605" t="s">
        <v>277</v>
      </c>
      <c r="B36" s="616" t="s">
        <v>1045</v>
      </c>
      <c r="C36" s="623">
        <v>0</v>
      </c>
      <c r="D36" s="445">
        <f>VLOOKUP(B36,$D$3:$E$9,2,FALSE)</f>
        <v>0</v>
      </c>
      <c r="E36" s="360">
        <f t="shared" si="0"/>
        <v>0</v>
      </c>
      <c r="F36" s="361" t="s">
        <v>337</v>
      </c>
      <c r="G36" s="360">
        <f t="shared" si="1"/>
        <v>0</v>
      </c>
    </row>
    <row r="37" spans="1:7">
      <c r="A37" s="605" t="s">
        <v>234</v>
      </c>
      <c r="B37" s="612" t="s">
        <v>152</v>
      </c>
      <c r="C37" s="620">
        <v>230</v>
      </c>
      <c r="D37" s="445">
        <f>VLOOKUP(B37,$D$3:$E$9,2,FALSE)</f>
        <v>0</v>
      </c>
      <c r="E37" s="360">
        <f t="shared" si="0"/>
        <v>0</v>
      </c>
      <c r="F37" s="361" t="s">
        <v>336</v>
      </c>
      <c r="G37" s="360">
        <f t="shared" si="1"/>
        <v>0</v>
      </c>
    </row>
    <row r="38" spans="1:7">
      <c r="A38" s="605" t="s">
        <v>234</v>
      </c>
      <c r="B38" s="612" t="s">
        <v>151</v>
      </c>
      <c r="C38" s="620">
        <v>230</v>
      </c>
      <c r="D38" s="445">
        <f>VLOOKUP(B38,$D$3:$E$9,2,FALSE)</f>
        <v>0</v>
      </c>
      <c r="E38" s="360">
        <f t="shared" si="0"/>
        <v>0</v>
      </c>
      <c r="F38" s="361" t="s">
        <v>337</v>
      </c>
      <c r="G38" s="360">
        <f t="shared" si="1"/>
        <v>0</v>
      </c>
    </row>
    <row r="39" spans="1:7">
      <c r="A39" s="605" t="s">
        <v>234</v>
      </c>
      <c r="B39" s="616" t="s">
        <v>1045</v>
      </c>
      <c r="C39" s="620">
        <v>255</v>
      </c>
      <c r="D39" s="445">
        <f>VLOOKUP(B39,$D$3:$E$9,2,FALSE)</f>
        <v>0</v>
      </c>
      <c r="E39" s="360">
        <f t="shared" si="0"/>
        <v>0</v>
      </c>
      <c r="F39" s="361" t="s">
        <v>337</v>
      </c>
      <c r="G39" s="360">
        <f t="shared" si="1"/>
        <v>0</v>
      </c>
    </row>
    <row r="40" spans="1:7">
      <c r="A40" s="605" t="s">
        <v>235</v>
      </c>
      <c r="B40" s="612" t="s">
        <v>152</v>
      </c>
      <c r="C40" s="620">
        <v>270.24</v>
      </c>
      <c r="D40" s="445">
        <f>VLOOKUP(B40,$D$3:$E$9,2,FALSE)</f>
        <v>0</v>
      </c>
      <c r="E40" s="360">
        <f t="shared" si="0"/>
        <v>0</v>
      </c>
      <c r="F40" s="361" t="s">
        <v>336</v>
      </c>
      <c r="G40" s="360">
        <f t="shared" si="1"/>
        <v>0</v>
      </c>
    </row>
    <row r="41" spans="1:7">
      <c r="A41" s="605" t="s">
        <v>235</v>
      </c>
      <c r="B41" s="612" t="s">
        <v>151</v>
      </c>
      <c r="C41" s="620">
        <v>270.24</v>
      </c>
      <c r="D41" s="445">
        <f>VLOOKUP(B41,$D$3:$E$9,2,FALSE)</f>
        <v>0</v>
      </c>
      <c r="E41" s="360">
        <f t="shared" si="0"/>
        <v>0</v>
      </c>
      <c r="F41" s="361" t="s">
        <v>337</v>
      </c>
      <c r="G41" s="360">
        <f t="shared" si="1"/>
        <v>0</v>
      </c>
    </row>
    <row r="42" spans="1:7">
      <c r="A42" s="605" t="s">
        <v>235</v>
      </c>
      <c r="B42" s="616" t="s">
        <v>1045</v>
      </c>
      <c r="C42" s="620">
        <v>150.08000000000001</v>
      </c>
      <c r="D42" s="445">
        <f>VLOOKUP(B42,$D$3:$E$9,2,FALSE)</f>
        <v>0</v>
      </c>
      <c r="E42" s="360">
        <f t="shared" si="0"/>
        <v>0</v>
      </c>
      <c r="F42" s="361" t="s">
        <v>337</v>
      </c>
      <c r="G42" s="360">
        <f t="shared" si="1"/>
        <v>0</v>
      </c>
    </row>
    <row r="43" spans="1:7">
      <c r="A43" s="605" t="s">
        <v>235</v>
      </c>
      <c r="B43" s="352" t="s">
        <v>1043</v>
      </c>
      <c r="C43" s="620">
        <v>4</v>
      </c>
      <c r="D43" s="445">
        <f>VLOOKUP(B43,$D$3:$E$9,2,FALSE)</f>
        <v>0</v>
      </c>
      <c r="E43" s="360">
        <f t="shared" ref="E43" si="4">C43*D43</f>
        <v>0</v>
      </c>
      <c r="F43" s="361" t="s">
        <v>337</v>
      </c>
      <c r="G43" s="360">
        <f t="shared" ref="G43" si="5">F43*E43</f>
        <v>0</v>
      </c>
    </row>
    <row r="44" spans="1:7">
      <c r="A44" s="605" t="s">
        <v>235</v>
      </c>
      <c r="B44" s="352" t="s">
        <v>1044</v>
      </c>
      <c r="C44" s="620">
        <v>4</v>
      </c>
      <c r="D44" s="445">
        <f>VLOOKUP(B44,$D$3:$E$9,2,FALSE)</f>
        <v>0</v>
      </c>
      <c r="E44" s="360">
        <f t="shared" si="0"/>
        <v>0</v>
      </c>
      <c r="F44" s="361" t="s">
        <v>336</v>
      </c>
      <c r="G44" s="360">
        <f t="shared" si="1"/>
        <v>0</v>
      </c>
    </row>
    <row r="45" spans="1:7">
      <c r="A45" s="605" t="s">
        <v>261</v>
      </c>
      <c r="B45" s="612" t="s">
        <v>152</v>
      </c>
      <c r="C45" s="620">
        <v>476.5</v>
      </c>
      <c r="D45" s="445">
        <f>VLOOKUP(B45,$D$3:$E$9,2,FALSE)</f>
        <v>0</v>
      </c>
      <c r="E45" s="360">
        <f t="shared" si="0"/>
        <v>0</v>
      </c>
      <c r="F45" s="361" t="s">
        <v>336</v>
      </c>
      <c r="G45" s="360">
        <f t="shared" si="1"/>
        <v>0</v>
      </c>
    </row>
    <row r="46" spans="1:7">
      <c r="A46" s="605" t="s">
        <v>261</v>
      </c>
      <c r="B46" s="612" t="s">
        <v>151</v>
      </c>
      <c r="C46" s="620">
        <v>473.9</v>
      </c>
      <c r="D46" s="445">
        <f>VLOOKUP(B46,$D$3:$E$9,2,FALSE)</f>
        <v>0</v>
      </c>
      <c r="E46" s="360">
        <f t="shared" si="0"/>
        <v>0</v>
      </c>
      <c r="F46" s="361" t="s">
        <v>337</v>
      </c>
      <c r="G46" s="360">
        <f t="shared" si="1"/>
        <v>0</v>
      </c>
    </row>
    <row r="47" spans="1:7">
      <c r="A47" s="605" t="s">
        <v>261</v>
      </c>
      <c r="B47" s="616" t="s">
        <v>1045</v>
      </c>
      <c r="C47" s="620">
        <v>349.48</v>
      </c>
      <c r="D47" s="445">
        <f>VLOOKUP(B47,$D$3:$E$9,2,FALSE)</f>
        <v>0</v>
      </c>
      <c r="E47" s="360">
        <f t="shared" si="0"/>
        <v>0</v>
      </c>
      <c r="F47" s="361" t="s">
        <v>337</v>
      </c>
      <c r="G47" s="360">
        <f t="shared" si="1"/>
        <v>0</v>
      </c>
    </row>
    <row r="48" spans="1:7">
      <c r="A48" s="605" t="s">
        <v>262</v>
      </c>
      <c r="B48" s="612" t="s">
        <v>152</v>
      </c>
      <c r="C48" s="620">
        <v>434</v>
      </c>
      <c r="D48" s="445">
        <f>VLOOKUP(B48,$D$3:$E$9,2,FALSE)</f>
        <v>0</v>
      </c>
      <c r="E48" s="360">
        <f t="shared" si="0"/>
        <v>0</v>
      </c>
      <c r="F48" s="361" t="s">
        <v>336</v>
      </c>
      <c r="G48" s="360">
        <f t="shared" si="1"/>
        <v>0</v>
      </c>
    </row>
    <row r="49" spans="1:7">
      <c r="A49" s="605" t="s">
        <v>262</v>
      </c>
      <c r="B49" s="612" t="s">
        <v>151</v>
      </c>
      <c r="C49" s="620">
        <v>434</v>
      </c>
      <c r="D49" s="445">
        <f>VLOOKUP(B49,$D$3:$E$9,2,FALSE)</f>
        <v>0</v>
      </c>
      <c r="E49" s="360">
        <f t="shared" si="0"/>
        <v>0</v>
      </c>
      <c r="F49" s="361" t="s">
        <v>337</v>
      </c>
      <c r="G49" s="360">
        <f t="shared" si="1"/>
        <v>0</v>
      </c>
    </row>
    <row r="50" spans="1:7">
      <c r="A50" s="605" t="s">
        <v>262</v>
      </c>
      <c r="B50" s="616" t="s">
        <v>1045</v>
      </c>
      <c r="C50" s="620">
        <v>260</v>
      </c>
      <c r="D50" s="445">
        <f>VLOOKUP(B50,$D$3:$E$9,2,FALSE)</f>
        <v>0</v>
      </c>
      <c r="E50" s="360">
        <f t="shared" si="0"/>
        <v>0</v>
      </c>
      <c r="F50" s="361" t="s">
        <v>337</v>
      </c>
      <c r="G50" s="360">
        <f t="shared" si="1"/>
        <v>0</v>
      </c>
    </row>
    <row r="51" spans="1:7">
      <c r="A51" s="605" t="s">
        <v>262</v>
      </c>
      <c r="B51" s="352" t="s">
        <v>1043</v>
      </c>
      <c r="C51" s="620">
        <v>4</v>
      </c>
      <c r="D51" s="445">
        <f>VLOOKUP(B51,$D$3:$E$9,2,FALSE)</f>
        <v>0</v>
      </c>
      <c r="E51" s="360">
        <f t="shared" ref="E51" si="6">C51*D51</f>
        <v>0</v>
      </c>
      <c r="F51" s="361" t="s">
        <v>337</v>
      </c>
      <c r="G51" s="360">
        <f t="shared" ref="G51" si="7">F51*E51</f>
        <v>0</v>
      </c>
    </row>
    <row r="52" spans="1:7">
      <c r="A52" s="605" t="s">
        <v>262</v>
      </c>
      <c r="B52" s="352" t="s">
        <v>1044</v>
      </c>
      <c r="C52" s="620">
        <v>4</v>
      </c>
      <c r="D52" s="445">
        <f>VLOOKUP(B52,$D$3:$E$9,2,FALSE)</f>
        <v>0</v>
      </c>
      <c r="E52" s="360">
        <f t="shared" si="0"/>
        <v>0</v>
      </c>
      <c r="F52" s="361" t="s">
        <v>336</v>
      </c>
      <c r="G52" s="360">
        <f t="shared" si="1"/>
        <v>0</v>
      </c>
    </row>
    <row r="53" spans="1:7">
      <c r="A53" s="605" t="s">
        <v>236</v>
      </c>
      <c r="B53" s="612" t="s">
        <v>152</v>
      </c>
      <c r="C53" s="620">
        <v>217.29</v>
      </c>
      <c r="D53" s="445">
        <f>VLOOKUP(B53,$D$3:$E$9,2,FALSE)</f>
        <v>0</v>
      </c>
      <c r="E53" s="360">
        <f t="shared" si="0"/>
        <v>0</v>
      </c>
      <c r="F53" s="361" t="s">
        <v>336</v>
      </c>
      <c r="G53" s="360">
        <f t="shared" si="1"/>
        <v>0</v>
      </c>
    </row>
    <row r="54" spans="1:7">
      <c r="A54" s="605" t="s">
        <v>236</v>
      </c>
      <c r="B54" s="612" t="s">
        <v>151</v>
      </c>
      <c r="C54" s="620">
        <v>216.11</v>
      </c>
      <c r="D54" s="445">
        <f>VLOOKUP(B54,$D$3:$E$9,2,FALSE)</f>
        <v>0</v>
      </c>
      <c r="E54" s="360">
        <f t="shared" si="0"/>
        <v>0</v>
      </c>
      <c r="F54" s="361" t="s">
        <v>337</v>
      </c>
      <c r="G54" s="360">
        <f t="shared" si="1"/>
        <v>0</v>
      </c>
    </row>
    <row r="55" spans="1:7">
      <c r="A55" s="605" t="s">
        <v>236</v>
      </c>
      <c r="B55" s="616" t="s">
        <v>1045</v>
      </c>
      <c r="C55" s="620">
        <v>121.14</v>
      </c>
      <c r="D55" s="445">
        <f>VLOOKUP(B55,$D$3:$E$9,2,FALSE)</f>
        <v>0</v>
      </c>
      <c r="E55" s="360">
        <f t="shared" si="0"/>
        <v>0</v>
      </c>
      <c r="F55" s="361" t="s">
        <v>337</v>
      </c>
      <c r="G55" s="360">
        <f t="shared" si="1"/>
        <v>0</v>
      </c>
    </row>
    <row r="56" spans="1:7">
      <c r="A56" s="605" t="s">
        <v>237</v>
      </c>
      <c r="B56" s="612" t="s">
        <v>152</v>
      </c>
      <c r="C56" s="620">
        <v>130</v>
      </c>
      <c r="D56" s="445">
        <f>VLOOKUP(B56,$D$3:$E$9,2,FALSE)</f>
        <v>0</v>
      </c>
      <c r="E56" s="360">
        <f t="shared" si="0"/>
        <v>0</v>
      </c>
      <c r="F56" s="361" t="s">
        <v>336</v>
      </c>
      <c r="G56" s="360">
        <f t="shared" si="1"/>
        <v>0</v>
      </c>
    </row>
    <row r="57" spans="1:7">
      <c r="A57" s="605" t="s">
        <v>237</v>
      </c>
      <c r="B57" s="612" t="s">
        <v>151</v>
      </c>
      <c r="C57" s="620">
        <v>130</v>
      </c>
      <c r="D57" s="445">
        <f>VLOOKUP(B57,$D$3:$E$9,2,FALSE)</f>
        <v>0</v>
      </c>
      <c r="E57" s="360">
        <f t="shared" si="0"/>
        <v>0</v>
      </c>
      <c r="F57" s="361" t="s">
        <v>337</v>
      </c>
      <c r="G57" s="360">
        <f t="shared" si="1"/>
        <v>0</v>
      </c>
    </row>
    <row r="58" spans="1:7">
      <c r="A58" s="605" t="s">
        <v>237</v>
      </c>
      <c r="B58" s="616" t="s">
        <v>1045</v>
      </c>
      <c r="C58" s="620">
        <v>21</v>
      </c>
      <c r="D58" s="445">
        <f>VLOOKUP(B58,$D$3:$E$9,2,FALSE)</f>
        <v>0</v>
      </c>
      <c r="E58" s="360">
        <f t="shared" si="0"/>
        <v>0</v>
      </c>
      <c r="F58" s="361" t="s">
        <v>337</v>
      </c>
      <c r="G58" s="360">
        <f t="shared" si="1"/>
        <v>0</v>
      </c>
    </row>
    <row r="59" spans="1:7">
      <c r="A59" s="605" t="s">
        <v>238</v>
      </c>
      <c r="B59" s="612" t="s">
        <v>152</v>
      </c>
      <c r="C59" s="620">
        <v>338</v>
      </c>
      <c r="D59" s="445">
        <f>VLOOKUP(B59,$D$3:$E$9,2,FALSE)</f>
        <v>0</v>
      </c>
      <c r="E59" s="360">
        <f t="shared" si="0"/>
        <v>0</v>
      </c>
      <c r="F59" s="361" t="s">
        <v>336</v>
      </c>
      <c r="G59" s="360">
        <f t="shared" si="1"/>
        <v>0</v>
      </c>
    </row>
    <row r="60" spans="1:7">
      <c r="A60" s="605" t="s">
        <v>238</v>
      </c>
      <c r="B60" s="612" t="s">
        <v>151</v>
      </c>
      <c r="C60" s="620">
        <v>338</v>
      </c>
      <c r="D60" s="445">
        <f>VLOOKUP(B60,$D$3:$E$9,2,FALSE)</f>
        <v>0</v>
      </c>
      <c r="E60" s="360">
        <f t="shared" si="0"/>
        <v>0</v>
      </c>
      <c r="F60" s="361" t="s">
        <v>337</v>
      </c>
      <c r="G60" s="360">
        <f t="shared" si="1"/>
        <v>0</v>
      </c>
    </row>
    <row r="61" spans="1:7">
      <c r="A61" s="605" t="s">
        <v>238</v>
      </c>
      <c r="B61" s="616" t="s">
        <v>1045</v>
      </c>
      <c r="C61" s="620">
        <v>385</v>
      </c>
      <c r="D61" s="445">
        <f>VLOOKUP(B61,$D$3:$E$9,2,FALSE)</f>
        <v>0</v>
      </c>
      <c r="E61" s="360">
        <f t="shared" si="0"/>
        <v>0</v>
      </c>
      <c r="F61" s="361" t="s">
        <v>337</v>
      </c>
      <c r="G61" s="360">
        <f t="shared" si="1"/>
        <v>0</v>
      </c>
    </row>
    <row r="62" spans="1:7">
      <c r="A62" s="605" t="s">
        <v>239</v>
      </c>
      <c r="B62" s="612" t="s">
        <v>152</v>
      </c>
      <c r="C62" s="620">
        <v>475</v>
      </c>
      <c r="D62" s="445">
        <f>VLOOKUP(B62,$D$3:$E$9,2,FALSE)</f>
        <v>0</v>
      </c>
      <c r="E62" s="360">
        <f t="shared" ref="E62:E125" si="8">C62*D62</f>
        <v>0</v>
      </c>
      <c r="F62" s="361" t="s">
        <v>336</v>
      </c>
      <c r="G62" s="360">
        <f t="shared" ref="G62:G125" si="9">F62*E62</f>
        <v>0</v>
      </c>
    </row>
    <row r="63" spans="1:7">
      <c r="A63" s="605" t="s">
        <v>239</v>
      </c>
      <c r="B63" s="612" t="s">
        <v>151</v>
      </c>
      <c r="C63" s="620">
        <v>475</v>
      </c>
      <c r="D63" s="445">
        <f>VLOOKUP(B63,$D$3:$E$9,2,FALSE)</f>
        <v>0</v>
      </c>
      <c r="E63" s="360">
        <f t="shared" si="8"/>
        <v>0</v>
      </c>
      <c r="F63" s="361" t="s">
        <v>337</v>
      </c>
      <c r="G63" s="360">
        <f t="shared" si="9"/>
        <v>0</v>
      </c>
    </row>
    <row r="64" spans="1:7">
      <c r="A64" s="605" t="s">
        <v>239</v>
      </c>
      <c r="B64" s="616" t="s">
        <v>1045</v>
      </c>
      <c r="C64" s="620">
        <v>84</v>
      </c>
      <c r="D64" s="445">
        <f>VLOOKUP(B64,$D$3:$E$9,2,FALSE)</f>
        <v>0</v>
      </c>
      <c r="E64" s="360">
        <f t="shared" si="8"/>
        <v>0</v>
      </c>
      <c r="F64" s="361" t="s">
        <v>337</v>
      </c>
      <c r="G64" s="360">
        <f t="shared" si="9"/>
        <v>0</v>
      </c>
    </row>
    <row r="65" spans="1:7">
      <c r="A65" s="605" t="s">
        <v>240</v>
      </c>
      <c r="B65" s="612" t="s">
        <v>152</v>
      </c>
      <c r="C65" s="620">
        <v>595</v>
      </c>
      <c r="D65" s="445">
        <f>VLOOKUP(B65,$D$3:$E$9,2,FALSE)</f>
        <v>0</v>
      </c>
      <c r="E65" s="360">
        <f t="shared" si="8"/>
        <v>0</v>
      </c>
      <c r="F65" s="361" t="s">
        <v>336</v>
      </c>
      <c r="G65" s="360">
        <f t="shared" si="9"/>
        <v>0</v>
      </c>
    </row>
    <row r="66" spans="1:7">
      <c r="A66" s="605" t="s">
        <v>240</v>
      </c>
      <c r="B66" s="612" t="s">
        <v>151</v>
      </c>
      <c r="C66" s="620">
        <v>595</v>
      </c>
      <c r="D66" s="445">
        <f>VLOOKUP(B66,$D$3:$E$9,2,FALSE)</f>
        <v>0</v>
      </c>
      <c r="E66" s="360">
        <f t="shared" si="8"/>
        <v>0</v>
      </c>
      <c r="F66" s="361" t="s">
        <v>337</v>
      </c>
      <c r="G66" s="360">
        <f t="shared" si="9"/>
        <v>0</v>
      </c>
    </row>
    <row r="67" spans="1:7">
      <c r="A67" s="605" t="s">
        <v>240</v>
      </c>
      <c r="B67" s="616" t="s">
        <v>1045</v>
      </c>
      <c r="C67" s="620">
        <v>273</v>
      </c>
      <c r="D67" s="445">
        <f>VLOOKUP(B67,$D$3:$E$9,2,FALSE)</f>
        <v>0</v>
      </c>
      <c r="E67" s="360">
        <f t="shared" si="8"/>
        <v>0</v>
      </c>
      <c r="F67" s="361" t="s">
        <v>337</v>
      </c>
      <c r="G67" s="360">
        <f t="shared" si="9"/>
        <v>0</v>
      </c>
    </row>
    <row r="68" spans="1:7">
      <c r="A68" s="605" t="s">
        <v>241</v>
      </c>
      <c r="B68" s="612" t="s">
        <v>152</v>
      </c>
      <c r="C68" s="620">
        <v>350.75</v>
      </c>
      <c r="D68" s="445">
        <f>VLOOKUP(B68,$D$3:$E$9,2,FALSE)</f>
        <v>0</v>
      </c>
      <c r="E68" s="360">
        <f t="shared" si="8"/>
        <v>0</v>
      </c>
      <c r="F68" s="361" t="s">
        <v>336</v>
      </c>
      <c r="G68" s="360">
        <f t="shared" si="9"/>
        <v>0</v>
      </c>
    </row>
    <row r="69" spans="1:7">
      <c r="A69" s="605" t="s">
        <v>241</v>
      </c>
      <c r="B69" s="612" t="s">
        <v>151</v>
      </c>
      <c r="C69" s="620">
        <v>348.85</v>
      </c>
      <c r="D69" s="445">
        <f>VLOOKUP(B69,$D$3:$E$9,2,FALSE)</f>
        <v>0</v>
      </c>
      <c r="E69" s="360">
        <f t="shared" si="8"/>
        <v>0</v>
      </c>
      <c r="F69" s="361" t="s">
        <v>337</v>
      </c>
      <c r="G69" s="360">
        <f t="shared" si="9"/>
        <v>0</v>
      </c>
    </row>
    <row r="70" spans="1:7">
      <c r="A70" s="605" t="s">
        <v>241</v>
      </c>
      <c r="B70" s="616" t="s">
        <v>1045</v>
      </c>
      <c r="C70" s="624">
        <v>137.22</v>
      </c>
      <c r="D70" s="445">
        <f>VLOOKUP(B70,$D$3:$E$9,2,FALSE)</f>
        <v>0</v>
      </c>
      <c r="E70" s="360">
        <f t="shared" si="8"/>
        <v>0</v>
      </c>
      <c r="F70" s="361" t="s">
        <v>337</v>
      </c>
      <c r="G70" s="360">
        <f t="shared" si="9"/>
        <v>0</v>
      </c>
    </row>
    <row r="71" spans="1:7">
      <c r="A71" s="605" t="s">
        <v>241</v>
      </c>
      <c r="B71" s="352" t="s">
        <v>1043</v>
      </c>
      <c r="C71" s="625">
        <f>37.5*2</f>
        <v>75</v>
      </c>
      <c r="D71" s="445">
        <f>VLOOKUP(B71,$D$3:$E$9,2,FALSE)</f>
        <v>0</v>
      </c>
      <c r="E71" s="360">
        <f t="shared" ref="E71" si="10">C71*D71</f>
        <v>0</v>
      </c>
      <c r="F71" s="361" t="s">
        <v>337</v>
      </c>
      <c r="G71" s="360">
        <f t="shared" ref="G71" si="11">F71*E71</f>
        <v>0</v>
      </c>
    </row>
    <row r="72" spans="1:7">
      <c r="A72" s="605" t="s">
        <v>241</v>
      </c>
      <c r="B72" s="352" t="s">
        <v>1044</v>
      </c>
      <c r="C72" s="625">
        <f>37.5*2</f>
        <v>75</v>
      </c>
      <c r="D72" s="445">
        <f>VLOOKUP(B72,$D$3:$E$9,2,FALSE)</f>
        <v>0</v>
      </c>
      <c r="E72" s="360">
        <f t="shared" si="8"/>
        <v>0</v>
      </c>
      <c r="F72" s="361" t="s">
        <v>336</v>
      </c>
      <c r="G72" s="360">
        <f t="shared" si="9"/>
        <v>0</v>
      </c>
    </row>
    <row r="73" spans="1:7">
      <c r="A73" s="605" t="s">
        <v>242</v>
      </c>
      <c r="B73" s="612" t="s">
        <v>152</v>
      </c>
      <c r="C73" s="620">
        <v>174.27</v>
      </c>
      <c r="D73" s="445">
        <f>VLOOKUP(B73,$D$3:$E$9,2,FALSE)</f>
        <v>0</v>
      </c>
      <c r="E73" s="360">
        <f t="shared" si="8"/>
        <v>0</v>
      </c>
      <c r="F73" s="361" t="s">
        <v>336</v>
      </c>
      <c r="G73" s="360">
        <f t="shared" si="9"/>
        <v>0</v>
      </c>
    </row>
    <row r="74" spans="1:7">
      <c r="A74" s="605" t="s">
        <v>242</v>
      </c>
      <c r="B74" s="612" t="s">
        <v>151</v>
      </c>
      <c r="C74" s="620">
        <v>173.33</v>
      </c>
      <c r="D74" s="445">
        <f>VLOOKUP(B74,$D$3:$E$9,2,FALSE)</f>
        <v>0</v>
      </c>
      <c r="E74" s="360">
        <f t="shared" si="8"/>
        <v>0</v>
      </c>
      <c r="F74" s="361" t="s">
        <v>337</v>
      </c>
      <c r="G74" s="360">
        <f t="shared" si="9"/>
        <v>0</v>
      </c>
    </row>
    <row r="75" spans="1:7">
      <c r="A75" s="605" t="s">
        <v>242</v>
      </c>
      <c r="B75" s="616" t="s">
        <v>1045</v>
      </c>
      <c r="C75" s="620">
        <v>53.6</v>
      </c>
      <c r="D75" s="445">
        <f>VLOOKUP(B75,$D$3:$E$9,2,FALSE)</f>
        <v>0</v>
      </c>
      <c r="E75" s="360">
        <f t="shared" si="8"/>
        <v>0</v>
      </c>
      <c r="F75" s="361" t="s">
        <v>337</v>
      </c>
      <c r="G75" s="360">
        <f t="shared" si="9"/>
        <v>0</v>
      </c>
    </row>
    <row r="76" spans="1:7">
      <c r="A76" s="605" t="s">
        <v>242</v>
      </c>
      <c r="B76" s="352" t="s">
        <v>1043</v>
      </c>
      <c r="C76" s="620">
        <f>30*2</f>
        <v>60</v>
      </c>
      <c r="D76" s="445">
        <f>VLOOKUP(B76,$D$3:$E$9,2,FALSE)</f>
        <v>0</v>
      </c>
      <c r="E76" s="360">
        <f t="shared" ref="E76" si="12">C76*D76</f>
        <v>0</v>
      </c>
      <c r="F76" s="361" t="s">
        <v>337</v>
      </c>
      <c r="G76" s="360">
        <f t="shared" ref="G76" si="13">F76*E76</f>
        <v>0</v>
      </c>
    </row>
    <row r="77" spans="1:7">
      <c r="A77" s="605" t="s">
        <v>242</v>
      </c>
      <c r="B77" s="352" t="s">
        <v>1044</v>
      </c>
      <c r="C77" s="620">
        <f>30*2</f>
        <v>60</v>
      </c>
      <c r="D77" s="445">
        <f>VLOOKUP(B77,$D$3:$E$9,2,FALSE)</f>
        <v>0</v>
      </c>
      <c r="E77" s="360">
        <f t="shared" si="8"/>
        <v>0</v>
      </c>
      <c r="F77" s="361" t="s">
        <v>336</v>
      </c>
      <c r="G77" s="360">
        <f t="shared" si="9"/>
        <v>0</v>
      </c>
    </row>
    <row r="78" spans="1:7">
      <c r="A78" s="605" t="s">
        <v>243</v>
      </c>
      <c r="B78" s="612" t="s">
        <v>152</v>
      </c>
      <c r="C78" s="620">
        <v>280.16000000000003</v>
      </c>
      <c r="D78" s="445">
        <f>VLOOKUP(B78,$D$3:$E$9,2,FALSE)</f>
        <v>0</v>
      </c>
      <c r="E78" s="360">
        <f t="shared" si="8"/>
        <v>0</v>
      </c>
      <c r="F78" s="361" t="s">
        <v>336</v>
      </c>
      <c r="G78" s="360">
        <f t="shared" si="9"/>
        <v>0</v>
      </c>
    </row>
    <row r="79" spans="1:7">
      <c r="A79" s="605" t="s">
        <v>243</v>
      </c>
      <c r="B79" s="612" t="s">
        <v>151</v>
      </c>
      <c r="C79" s="620">
        <v>278.64</v>
      </c>
      <c r="D79" s="445">
        <f>VLOOKUP(B79,$D$3:$E$9,2,FALSE)</f>
        <v>0</v>
      </c>
      <c r="E79" s="360">
        <f t="shared" si="8"/>
        <v>0</v>
      </c>
      <c r="F79" s="361" t="s">
        <v>337</v>
      </c>
      <c r="G79" s="360">
        <f t="shared" si="9"/>
        <v>0</v>
      </c>
    </row>
    <row r="80" spans="1:7">
      <c r="A80" s="605" t="s">
        <v>243</v>
      </c>
      <c r="B80" s="616" t="s">
        <v>1045</v>
      </c>
      <c r="C80" s="620">
        <v>122.2</v>
      </c>
      <c r="D80" s="445">
        <f>VLOOKUP(B80,$D$3:$E$9,2,FALSE)</f>
        <v>0</v>
      </c>
      <c r="E80" s="360">
        <f t="shared" si="8"/>
        <v>0</v>
      </c>
      <c r="F80" s="361" t="s">
        <v>337</v>
      </c>
      <c r="G80" s="360">
        <f t="shared" si="9"/>
        <v>0</v>
      </c>
    </row>
    <row r="81" spans="1:7">
      <c r="A81" s="605" t="s">
        <v>243</v>
      </c>
      <c r="B81" s="352" t="s">
        <v>1043</v>
      </c>
      <c r="C81" s="620">
        <f>17.5*2</f>
        <v>35</v>
      </c>
      <c r="D81" s="445">
        <f>VLOOKUP(B81,$D$3:$E$9,2,FALSE)</f>
        <v>0</v>
      </c>
      <c r="E81" s="360">
        <f t="shared" ref="E81" si="14">C81*D81</f>
        <v>0</v>
      </c>
      <c r="F81" s="361" t="s">
        <v>337</v>
      </c>
      <c r="G81" s="360">
        <f t="shared" ref="G81" si="15">F81*E81</f>
        <v>0</v>
      </c>
    </row>
    <row r="82" spans="1:7">
      <c r="A82" s="605" t="s">
        <v>243</v>
      </c>
      <c r="B82" s="352" t="s">
        <v>1044</v>
      </c>
      <c r="C82" s="620">
        <f>17.5*2</f>
        <v>35</v>
      </c>
      <c r="D82" s="445">
        <f>VLOOKUP(B82,$D$3:$E$9,2,FALSE)</f>
        <v>0</v>
      </c>
      <c r="E82" s="360">
        <f t="shared" si="8"/>
        <v>0</v>
      </c>
      <c r="F82" s="361" t="s">
        <v>336</v>
      </c>
      <c r="G82" s="360">
        <f t="shared" si="9"/>
        <v>0</v>
      </c>
    </row>
    <row r="83" spans="1:7">
      <c r="A83" s="605" t="s">
        <v>244</v>
      </c>
      <c r="B83" s="612" t="s">
        <v>152</v>
      </c>
      <c r="C83" s="621">
        <v>208.47</v>
      </c>
      <c r="D83" s="445">
        <f>VLOOKUP(B83,$D$3:$E$9,2,FALSE)</f>
        <v>0</v>
      </c>
      <c r="E83" s="360">
        <f t="shared" si="8"/>
        <v>0</v>
      </c>
      <c r="F83" s="361" t="s">
        <v>336</v>
      </c>
      <c r="G83" s="360">
        <f t="shared" si="9"/>
        <v>0</v>
      </c>
    </row>
    <row r="84" spans="1:7">
      <c r="A84" s="605" t="s">
        <v>244</v>
      </c>
      <c r="B84" s="612" t="s">
        <v>151</v>
      </c>
      <c r="C84" s="621">
        <v>207.33</v>
      </c>
      <c r="D84" s="445">
        <f>VLOOKUP(B84,$D$3:$E$9,2,FALSE)</f>
        <v>0</v>
      </c>
      <c r="E84" s="360">
        <f t="shared" si="8"/>
        <v>0</v>
      </c>
      <c r="F84" s="361" t="s">
        <v>337</v>
      </c>
      <c r="G84" s="360">
        <f t="shared" si="9"/>
        <v>0</v>
      </c>
    </row>
    <row r="85" spans="1:7">
      <c r="A85" s="605" t="s">
        <v>244</v>
      </c>
      <c r="B85" s="616" t="s">
        <v>1045</v>
      </c>
      <c r="C85" s="622">
        <f>192.96*2</f>
        <v>385.92</v>
      </c>
      <c r="D85" s="445">
        <f>VLOOKUP(B85,$D$3:$E$9,2,FALSE)</f>
        <v>0</v>
      </c>
      <c r="E85" s="360">
        <f t="shared" si="8"/>
        <v>0</v>
      </c>
      <c r="F85" s="361" t="s">
        <v>337</v>
      </c>
      <c r="G85" s="360">
        <f t="shared" si="9"/>
        <v>0</v>
      </c>
    </row>
    <row r="86" spans="1:7">
      <c r="A86" s="605" t="s">
        <v>244</v>
      </c>
      <c r="B86" s="352" t="s">
        <v>1043</v>
      </c>
      <c r="C86" s="622">
        <f>65*2</f>
        <v>130</v>
      </c>
      <c r="D86" s="445">
        <f>VLOOKUP(B86,$D$3:$E$9,2,FALSE)</f>
        <v>0</v>
      </c>
      <c r="E86" s="360">
        <f t="shared" ref="E86" si="16">C86*D86</f>
        <v>0</v>
      </c>
      <c r="F86" s="361" t="s">
        <v>337</v>
      </c>
      <c r="G86" s="360">
        <f t="shared" ref="G86" si="17">F86*E86</f>
        <v>0</v>
      </c>
    </row>
    <row r="87" spans="1:7">
      <c r="A87" s="605" t="s">
        <v>244</v>
      </c>
      <c r="B87" s="352" t="s">
        <v>1044</v>
      </c>
      <c r="C87" s="622">
        <f>65*2</f>
        <v>130</v>
      </c>
      <c r="D87" s="445">
        <f>VLOOKUP(B87,$D$3:$E$9,2,FALSE)</f>
        <v>0</v>
      </c>
      <c r="E87" s="360">
        <f t="shared" si="8"/>
        <v>0</v>
      </c>
      <c r="F87" s="361" t="s">
        <v>336</v>
      </c>
      <c r="G87" s="360">
        <f t="shared" si="9"/>
        <v>0</v>
      </c>
    </row>
    <row r="88" spans="1:7">
      <c r="A88" s="605" t="s">
        <v>245</v>
      </c>
      <c r="B88" s="612" t="s">
        <v>152</v>
      </c>
      <c r="C88" s="620">
        <v>182</v>
      </c>
      <c r="D88" s="445">
        <f>VLOOKUP(B88,$D$3:$E$9,2,FALSE)</f>
        <v>0</v>
      </c>
      <c r="E88" s="360">
        <f t="shared" si="8"/>
        <v>0</v>
      </c>
      <c r="F88" s="361" t="s">
        <v>336</v>
      </c>
      <c r="G88" s="360">
        <f t="shared" si="9"/>
        <v>0</v>
      </c>
    </row>
    <row r="89" spans="1:7">
      <c r="A89" s="605" t="s">
        <v>245</v>
      </c>
      <c r="B89" s="612" t="s">
        <v>151</v>
      </c>
      <c r="C89" s="620">
        <v>182</v>
      </c>
      <c r="D89" s="445">
        <f>VLOOKUP(B89,$D$3:$E$9,2,FALSE)</f>
        <v>0</v>
      </c>
      <c r="E89" s="360">
        <f t="shared" si="8"/>
        <v>0</v>
      </c>
      <c r="F89" s="361" t="s">
        <v>337</v>
      </c>
      <c r="G89" s="360">
        <f t="shared" si="9"/>
        <v>0</v>
      </c>
    </row>
    <row r="90" spans="1:7">
      <c r="A90" s="605" t="s">
        <v>245</v>
      </c>
      <c r="B90" s="616" t="s">
        <v>1045</v>
      </c>
      <c r="C90" s="620">
        <v>45</v>
      </c>
      <c r="D90" s="445">
        <f>VLOOKUP(B90,$D$3:$E$9,2,FALSE)</f>
        <v>0</v>
      </c>
      <c r="E90" s="360">
        <f t="shared" si="8"/>
        <v>0</v>
      </c>
      <c r="F90" s="361" t="s">
        <v>337</v>
      </c>
      <c r="G90" s="360">
        <f t="shared" si="9"/>
        <v>0</v>
      </c>
    </row>
    <row r="91" spans="1:7">
      <c r="A91" s="605" t="s">
        <v>245</v>
      </c>
      <c r="B91" s="352" t="s">
        <v>1043</v>
      </c>
      <c r="C91" s="620">
        <v>33</v>
      </c>
      <c r="D91" s="445">
        <f>VLOOKUP(B91,$D$3:$E$9,2,FALSE)</f>
        <v>0</v>
      </c>
      <c r="E91" s="360">
        <f t="shared" ref="E91" si="18">C91*D91</f>
        <v>0</v>
      </c>
      <c r="F91" s="361" t="s">
        <v>337</v>
      </c>
      <c r="G91" s="360">
        <f t="shared" ref="G91" si="19">F91*E91</f>
        <v>0</v>
      </c>
    </row>
    <row r="92" spans="1:7">
      <c r="A92" s="605" t="s">
        <v>245</v>
      </c>
      <c r="B92" s="352" t="s">
        <v>1044</v>
      </c>
      <c r="C92" s="620">
        <v>33</v>
      </c>
      <c r="D92" s="445">
        <f>VLOOKUP(B92,$D$3:$E$9,2,FALSE)</f>
        <v>0</v>
      </c>
      <c r="E92" s="360">
        <f t="shared" si="8"/>
        <v>0</v>
      </c>
      <c r="F92" s="361" t="s">
        <v>336</v>
      </c>
      <c r="G92" s="360">
        <f t="shared" si="9"/>
        <v>0</v>
      </c>
    </row>
    <row r="93" spans="1:7">
      <c r="A93" s="605" t="s">
        <v>246</v>
      </c>
      <c r="B93" s="612" t="s">
        <v>152</v>
      </c>
      <c r="C93" s="620">
        <v>183</v>
      </c>
      <c r="D93" s="445">
        <f>VLOOKUP(B93,$D$3:$E$9,2,FALSE)</f>
        <v>0</v>
      </c>
      <c r="E93" s="360">
        <f t="shared" si="8"/>
        <v>0</v>
      </c>
      <c r="F93" s="361" t="s">
        <v>336</v>
      </c>
      <c r="G93" s="360">
        <f t="shared" si="9"/>
        <v>0</v>
      </c>
    </row>
    <row r="94" spans="1:7">
      <c r="A94" s="605" t="s">
        <v>246</v>
      </c>
      <c r="B94" s="612" t="s">
        <v>151</v>
      </c>
      <c r="C94" s="620">
        <v>183</v>
      </c>
      <c r="D94" s="445">
        <f>VLOOKUP(B94,$D$3:$E$9,2,FALSE)</f>
        <v>0</v>
      </c>
      <c r="E94" s="360">
        <f t="shared" si="8"/>
        <v>0</v>
      </c>
      <c r="F94" s="361" t="s">
        <v>337</v>
      </c>
      <c r="G94" s="360">
        <f t="shared" si="9"/>
        <v>0</v>
      </c>
    </row>
    <row r="95" spans="1:7">
      <c r="A95" s="605" t="s">
        <v>246</v>
      </c>
      <c r="B95" s="616" t="s">
        <v>1045</v>
      </c>
      <c r="C95" s="620">
        <v>57</v>
      </c>
      <c r="D95" s="445">
        <f>VLOOKUP(B95,$D$3:$E$9,2,FALSE)</f>
        <v>0</v>
      </c>
      <c r="E95" s="360">
        <f t="shared" si="8"/>
        <v>0</v>
      </c>
      <c r="F95" s="361" t="s">
        <v>337</v>
      </c>
      <c r="G95" s="360">
        <f t="shared" si="9"/>
        <v>0</v>
      </c>
    </row>
    <row r="96" spans="1:7">
      <c r="A96" s="605" t="s">
        <v>263</v>
      </c>
      <c r="B96" s="612" t="s">
        <v>152</v>
      </c>
      <c r="C96" s="626">
        <v>151.11000000000001</v>
      </c>
      <c r="D96" s="445">
        <f>VLOOKUP(B96,$D$3:$E$9,2,FALSE)</f>
        <v>0</v>
      </c>
      <c r="E96" s="360">
        <f t="shared" si="8"/>
        <v>0</v>
      </c>
      <c r="F96" s="361" t="s">
        <v>336</v>
      </c>
      <c r="G96" s="360">
        <f t="shared" si="9"/>
        <v>0</v>
      </c>
    </row>
    <row r="97" spans="1:7">
      <c r="A97" s="605" t="s">
        <v>263</v>
      </c>
      <c r="B97" s="612" t="s">
        <v>151</v>
      </c>
      <c r="C97" s="626">
        <v>150.29</v>
      </c>
      <c r="D97" s="445">
        <f>VLOOKUP(B97,$D$3:$E$9,2,FALSE)</f>
        <v>0</v>
      </c>
      <c r="E97" s="360">
        <f t="shared" si="8"/>
        <v>0</v>
      </c>
      <c r="F97" s="361" t="s">
        <v>337</v>
      </c>
      <c r="G97" s="360">
        <f t="shared" si="9"/>
        <v>0</v>
      </c>
    </row>
    <row r="98" spans="1:7">
      <c r="A98" s="605" t="s">
        <v>263</v>
      </c>
      <c r="B98" s="616" t="s">
        <v>1045</v>
      </c>
      <c r="C98" s="627">
        <f>17.15*2</f>
        <v>34.299999999999997</v>
      </c>
      <c r="D98" s="445">
        <f>VLOOKUP(B98,$D$3:$E$9,2,FALSE)</f>
        <v>0</v>
      </c>
      <c r="E98" s="360">
        <f t="shared" si="8"/>
        <v>0</v>
      </c>
      <c r="F98" s="361" t="s">
        <v>337</v>
      </c>
      <c r="G98" s="360">
        <f t="shared" si="9"/>
        <v>0</v>
      </c>
    </row>
    <row r="99" spans="1:7">
      <c r="A99" s="605" t="s">
        <v>263</v>
      </c>
      <c r="B99" s="352" t="s">
        <v>1043</v>
      </c>
      <c r="C99" s="620">
        <f>17.5*2</f>
        <v>35</v>
      </c>
      <c r="D99" s="445">
        <f>VLOOKUP(B99,$D$3:$E$9,2,FALSE)</f>
        <v>0</v>
      </c>
      <c r="E99" s="360">
        <f t="shared" ref="E99" si="20">C99*D99</f>
        <v>0</v>
      </c>
      <c r="F99" s="361" t="s">
        <v>337</v>
      </c>
      <c r="G99" s="360">
        <f t="shared" ref="G99" si="21">F99*E99</f>
        <v>0</v>
      </c>
    </row>
    <row r="100" spans="1:7">
      <c r="A100" s="605" t="s">
        <v>263</v>
      </c>
      <c r="B100" s="352" t="s">
        <v>1044</v>
      </c>
      <c r="C100" s="620">
        <f>17.5*2</f>
        <v>35</v>
      </c>
      <c r="D100" s="445">
        <f>VLOOKUP(B100,$D$3:$E$9,2,FALSE)</f>
        <v>0</v>
      </c>
      <c r="E100" s="360">
        <f t="shared" si="8"/>
        <v>0</v>
      </c>
      <c r="F100" s="361" t="s">
        <v>336</v>
      </c>
      <c r="G100" s="360">
        <f t="shared" si="9"/>
        <v>0</v>
      </c>
    </row>
    <row r="101" spans="1:7">
      <c r="A101" s="605" t="s">
        <v>264</v>
      </c>
      <c r="B101" s="612" t="s">
        <v>152</v>
      </c>
      <c r="C101" s="626">
        <v>130.6</v>
      </c>
      <c r="D101" s="445">
        <f>VLOOKUP(B101,$D$3:$E$9,2,FALSE)</f>
        <v>0</v>
      </c>
      <c r="E101" s="360">
        <f t="shared" si="8"/>
        <v>0</v>
      </c>
      <c r="F101" s="361" t="s">
        <v>336</v>
      </c>
      <c r="G101" s="360">
        <f t="shared" si="9"/>
        <v>0</v>
      </c>
    </row>
    <row r="102" spans="1:7">
      <c r="A102" s="605" t="s">
        <v>264</v>
      </c>
      <c r="B102" s="612" t="s">
        <v>151</v>
      </c>
      <c r="C102" s="626">
        <v>129.88</v>
      </c>
      <c r="D102" s="445">
        <f>VLOOKUP(B102,$D$3:$E$9,2,FALSE)</f>
        <v>0</v>
      </c>
      <c r="E102" s="360">
        <f t="shared" si="8"/>
        <v>0</v>
      </c>
      <c r="F102" s="361" t="s">
        <v>337</v>
      </c>
      <c r="G102" s="360">
        <f t="shared" si="9"/>
        <v>0</v>
      </c>
    </row>
    <row r="103" spans="1:7">
      <c r="A103" s="605" t="s">
        <v>264</v>
      </c>
      <c r="B103" s="616" t="s">
        <v>1045</v>
      </c>
      <c r="C103" s="627">
        <f>63.46*2</f>
        <v>126.92</v>
      </c>
      <c r="D103" s="445">
        <f>VLOOKUP(B103,$D$3:$E$9,2,FALSE)</f>
        <v>0</v>
      </c>
      <c r="E103" s="360">
        <f t="shared" si="8"/>
        <v>0</v>
      </c>
      <c r="F103" s="361" t="s">
        <v>337</v>
      </c>
      <c r="G103" s="360">
        <f t="shared" si="9"/>
        <v>0</v>
      </c>
    </row>
    <row r="104" spans="1:7">
      <c r="A104" s="605" t="s">
        <v>247</v>
      </c>
      <c r="B104" s="612" t="s">
        <v>152</v>
      </c>
      <c r="C104" s="626">
        <v>206.92</v>
      </c>
      <c r="D104" s="445">
        <f>VLOOKUP(B104,$D$3:$E$9,2,FALSE)</f>
        <v>0</v>
      </c>
      <c r="E104" s="360">
        <f t="shared" si="8"/>
        <v>0</v>
      </c>
      <c r="F104" s="361" t="s">
        <v>336</v>
      </c>
      <c r="G104" s="360">
        <f t="shared" si="9"/>
        <v>0</v>
      </c>
    </row>
    <row r="105" spans="1:7">
      <c r="A105" s="605" t="s">
        <v>247</v>
      </c>
      <c r="B105" s="612" t="s">
        <v>151</v>
      </c>
      <c r="C105" s="626">
        <v>205.8</v>
      </c>
      <c r="D105" s="445">
        <f>VLOOKUP(B105,$D$3:$E$9,2,FALSE)</f>
        <v>0</v>
      </c>
      <c r="E105" s="360">
        <f t="shared" si="8"/>
        <v>0</v>
      </c>
      <c r="F105" s="361" t="s">
        <v>337</v>
      </c>
      <c r="G105" s="360">
        <f t="shared" si="9"/>
        <v>0</v>
      </c>
    </row>
    <row r="106" spans="1:7">
      <c r="A106" s="605" t="s">
        <v>247</v>
      </c>
      <c r="B106" s="616" t="s">
        <v>1045</v>
      </c>
      <c r="C106" s="627">
        <f>100.55*2</f>
        <v>201.1</v>
      </c>
      <c r="D106" s="445">
        <f>VLOOKUP(B106,$D$3:$E$9,2,FALSE)</f>
        <v>0</v>
      </c>
      <c r="E106" s="360">
        <f t="shared" si="8"/>
        <v>0</v>
      </c>
      <c r="F106" s="361" t="s">
        <v>337</v>
      </c>
      <c r="G106" s="360">
        <f t="shared" si="9"/>
        <v>0</v>
      </c>
    </row>
    <row r="107" spans="1:7">
      <c r="A107" s="605" t="s">
        <v>248</v>
      </c>
      <c r="B107" s="612" t="s">
        <v>152</v>
      </c>
      <c r="C107" s="626">
        <v>113</v>
      </c>
      <c r="D107" s="445">
        <f>VLOOKUP(B107,$D$3:$E$9,2,FALSE)</f>
        <v>0</v>
      </c>
      <c r="E107" s="360">
        <f>C107*D107</f>
        <v>0</v>
      </c>
      <c r="F107" s="361" t="s">
        <v>336</v>
      </c>
      <c r="G107" s="360">
        <f t="shared" si="9"/>
        <v>0</v>
      </c>
    </row>
    <row r="108" spans="1:7">
      <c r="A108" s="605" t="s">
        <v>248</v>
      </c>
      <c r="B108" s="612" t="s">
        <v>151</v>
      </c>
      <c r="C108" s="626">
        <v>113</v>
      </c>
      <c r="D108" s="445">
        <f>VLOOKUP(B108,$D$3:$E$9,2,FALSE)</f>
        <v>0</v>
      </c>
      <c r="E108" s="360">
        <f>C108*D108</f>
        <v>0</v>
      </c>
      <c r="F108" s="361" t="s">
        <v>337</v>
      </c>
      <c r="G108" s="360">
        <f t="shared" si="9"/>
        <v>0</v>
      </c>
    </row>
    <row r="109" spans="1:7">
      <c r="A109" s="605" t="s">
        <v>248</v>
      </c>
      <c r="B109" s="616" t="s">
        <v>1045</v>
      </c>
      <c r="C109" s="620">
        <v>28</v>
      </c>
      <c r="D109" s="445">
        <f>VLOOKUP(B109,$D$3:$E$9,2,FALSE)</f>
        <v>0</v>
      </c>
      <c r="E109" s="360">
        <f>C109*D109</f>
        <v>0</v>
      </c>
      <c r="F109" s="361" t="s">
        <v>337</v>
      </c>
      <c r="G109" s="360">
        <f t="shared" si="9"/>
        <v>0</v>
      </c>
    </row>
    <row r="110" spans="1:7">
      <c r="A110" s="605" t="s">
        <v>249</v>
      </c>
      <c r="B110" s="612" t="s">
        <v>152</v>
      </c>
      <c r="C110" s="626">
        <v>236.2</v>
      </c>
      <c r="D110" s="445">
        <f>VLOOKUP(B110,$D$3:$E$9,2,FALSE)</f>
        <v>0</v>
      </c>
      <c r="E110" s="360">
        <f t="shared" si="8"/>
        <v>0</v>
      </c>
      <c r="F110" s="361" t="s">
        <v>336</v>
      </c>
      <c r="G110" s="360">
        <f t="shared" si="9"/>
        <v>0</v>
      </c>
    </row>
    <row r="111" spans="1:7">
      <c r="A111" s="605" t="s">
        <v>249</v>
      </c>
      <c r="B111" s="612" t="s">
        <v>151</v>
      </c>
      <c r="C111" s="626">
        <v>235.2</v>
      </c>
      <c r="D111" s="445">
        <f>VLOOKUP(B111,$D$3:$E$9,2,FALSE)</f>
        <v>0</v>
      </c>
      <c r="E111" s="360">
        <f t="shared" si="8"/>
        <v>0</v>
      </c>
      <c r="F111" s="361" t="s">
        <v>337</v>
      </c>
      <c r="G111" s="360">
        <f t="shared" si="9"/>
        <v>0</v>
      </c>
    </row>
    <row r="112" spans="1:7">
      <c r="A112" s="605" t="s">
        <v>249</v>
      </c>
      <c r="B112" s="616" t="s">
        <v>1045</v>
      </c>
      <c r="C112" s="627">
        <f>114.92*2</f>
        <v>229.84</v>
      </c>
      <c r="D112" s="445">
        <f>VLOOKUP(B112,$D$3:$E$9,2,FALSE)</f>
        <v>0</v>
      </c>
      <c r="E112" s="360">
        <f t="shared" si="8"/>
        <v>0</v>
      </c>
      <c r="F112" s="361" t="s">
        <v>337</v>
      </c>
      <c r="G112" s="360">
        <f t="shared" si="9"/>
        <v>0</v>
      </c>
    </row>
    <row r="113" spans="1:7">
      <c r="A113" s="605" t="s">
        <v>250</v>
      </c>
      <c r="B113" s="612" t="s">
        <v>152</v>
      </c>
      <c r="C113" s="626">
        <v>81.180000000000007</v>
      </c>
      <c r="D113" s="445">
        <f>VLOOKUP(B113,$D$3:$E$9,2,FALSE)</f>
        <v>0</v>
      </c>
      <c r="E113" s="360">
        <f t="shared" si="8"/>
        <v>0</v>
      </c>
      <c r="F113" s="361" t="s">
        <v>336</v>
      </c>
      <c r="G113" s="360">
        <f t="shared" si="9"/>
        <v>0</v>
      </c>
    </row>
    <row r="114" spans="1:7">
      <c r="A114" s="605" t="s">
        <v>250</v>
      </c>
      <c r="B114" s="612" t="s">
        <v>151</v>
      </c>
      <c r="C114" s="626">
        <v>80.739999999999995</v>
      </c>
      <c r="D114" s="445">
        <f>VLOOKUP(B114,$D$3:$E$9,2,FALSE)</f>
        <v>0</v>
      </c>
      <c r="E114" s="360">
        <f t="shared" si="8"/>
        <v>0</v>
      </c>
      <c r="F114" s="361" t="s">
        <v>337</v>
      </c>
      <c r="G114" s="360">
        <f t="shared" si="9"/>
        <v>0</v>
      </c>
    </row>
    <row r="115" spans="1:7">
      <c r="A115" s="605" t="s">
        <v>250</v>
      </c>
      <c r="B115" s="616" t="s">
        <v>1045</v>
      </c>
      <c r="C115" s="627">
        <f>39.45*2</f>
        <v>78.900000000000006</v>
      </c>
      <c r="D115" s="445">
        <f>VLOOKUP(B115,$D$3:$E$9,2,FALSE)</f>
        <v>0</v>
      </c>
      <c r="E115" s="360">
        <f t="shared" si="8"/>
        <v>0</v>
      </c>
      <c r="F115" s="361" t="s">
        <v>337</v>
      </c>
      <c r="G115" s="360">
        <f t="shared" si="9"/>
        <v>0</v>
      </c>
    </row>
    <row r="116" spans="1:7">
      <c r="A116" s="605" t="s">
        <v>250</v>
      </c>
      <c r="B116" s="352" t="s">
        <v>1043</v>
      </c>
      <c r="C116" s="620">
        <f>2.5*2</f>
        <v>5</v>
      </c>
      <c r="D116" s="445">
        <f>VLOOKUP(B116,$D$3:$E$9,2,FALSE)</f>
        <v>0</v>
      </c>
      <c r="E116" s="360">
        <f t="shared" ref="E116" si="22">C116*D116</f>
        <v>0</v>
      </c>
      <c r="F116" s="361" t="s">
        <v>337</v>
      </c>
      <c r="G116" s="360">
        <f t="shared" ref="G116" si="23">F116*E116</f>
        <v>0</v>
      </c>
    </row>
    <row r="117" spans="1:7">
      <c r="A117" s="605" t="s">
        <v>250</v>
      </c>
      <c r="B117" s="352" t="s">
        <v>1044</v>
      </c>
      <c r="C117" s="620">
        <f>2.5*2</f>
        <v>5</v>
      </c>
      <c r="D117" s="445">
        <f>VLOOKUP(B117,$D$3:$E$9,2,FALSE)</f>
        <v>0</v>
      </c>
      <c r="E117" s="360">
        <f t="shared" si="8"/>
        <v>0</v>
      </c>
      <c r="F117" s="361" t="s">
        <v>336</v>
      </c>
      <c r="G117" s="360">
        <f t="shared" si="9"/>
        <v>0</v>
      </c>
    </row>
    <row r="118" spans="1:7">
      <c r="A118" s="605" t="s">
        <v>259</v>
      </c>
      <c r="B118" s="612" t="s">
        <v>152</v>
      </c>
      <c r="C118" s="626">
        <v>135.01</v>
      </c>
      <c r="D118" s="445">
        <f>VLOOKUP(B118,$D$3:$E$9,2,FALSE)</f>
        <v>0</v>
      </c>
      <c r="E118" s="360">
        <f t="shared" si="8"/>
        <v>0</v>
      </c>
      <c r="F118" s="361" t="s">
        <v>336</v>
      </c>
      <c r="G118" s="360">
        <f t="shared" si="9"/>
        <v>0</v>
      </c>
    </row>
    <row r="119" spans="1:7">
      <c r="A119" s="605" t="s">
        <v>259</v>
      </c>
      <c r="B119" s="612" t="s">
        <v>151</v>
      </c>
      <c r="C119" s="626">
        <v>134.16999999999999</v>
      </c>
      <c r="D119" s="445">
        <f>VLOOKUP(B119,$D$3:$E$9,2,FALSE)</f>
        <v>0</v>
      </c>
      <c r="E119" s="360">
        <f t="shared" si="8"/>
        <v>0</v>
      </c>
      <c r="F119" s="361" t="s">
        <v>337</v>
      </c>
      <c r="G119" s="360">
        <f t="shared" si="9"/>
        <v>0</v>
      </c>
    </row>
    <row r="120" spans="1:7">
      <c r="A120" s="605" t="s">
        <v>259</v>
      </c>
      <c r="B120" s="616" t="s">
        <v>1045</v>
      </c>
      <c r="C120" s="627">
        <f>65.61*2</f>
        <v>131.22</v>
      </c>
      <c r="D120" s="445">
        <f>VLOOKUP(B120,$D$3:$E$9,2,FALSE)</f>
        <v>0</v>
      </c>
      <c r="E120" s="360">
        <f t="shared" si="8"/>
        <v>0</v>
      </c>
      <c r="F120" s="361" t="s">
        <v>337</v>
      </c>
      <c r="G120" s="360">
        <f t="shared" si="9"/>
        <v>0</v>
      </c>
    </row>
    <row r="121" spans="1:7">
      <c r="A121" s="605" t="s">
        <v>251</v>
      </c>
      <c r="B121" s="612" t="s">
        <v>152</v>
      </c>
      <c r="C121" s="626">
        <v>208.25</v>
      </c>
      <c r="D121" s="445">
        <f>VLOOKUP(B121,$D$3:$E$9,2,FALSE)</f>
        <v>0</v>
      </c>
      <c r="E121" s="360">
        <f t="shared" si="8"/>
        <v>0</v>
      </c>
      <c r="F121" s="361" t="s">
        <v>336</v>
      </c>
      <c r="G121" s="360">
        <f t="shared" si="9"/>
        <v>0</v>
      </c>
    </row>
    <row r="122" spans="1:7">
      <c r="A122" s="605" t="s">
        <v>251</v>
      </c>
      <c r="B122" s="612" t="s">
        <v>151</v>
      </c>
      <c r="C122" s="626">
        <v>207.11</v>
      </c>
      <c r="D122" s="445">
        <f>VLOOKUP(B122,$D$3:$E$9,2,FALSE)</f>
        <v>0</v>
      </c>
      <c r="E122" s="360">
        <f t="shared" si="8"/>
        <v>0</v>
      </c>
      <c r="F122" s="361" t="s">
        <v>337</v>
      </c>
      <c r="G122" s="360">
        <f t="shared" si="9"/>
        <v>0</v>
      </c>
    </row>
    <row r="123" spans="1:7">
      <c r="A123" s="605" t="s">
        <v>251</v>
      </c>
      <c r="B123" s="616" t="s">
        <v>1045</v>
      </c>
      <c r="C123" s="627">
        <f>101.2*2</f>
        <v>202.4</v>
      </c>
      <c r="D123" s="445">
        <f>VLOOKUP(B123,$D$3:$E$9,2,FALSE)</f>
        <v>0</v>
      </c>
      <c r="E123" s="360">
        <f t="shared" si="8"/>
        <v>0</v>
      </c>
      <c r="F123" s="361" t="s">
        <v>337</v>
      </c>
      <c r="G123" s="360">
        <f t="shared" si="9"/>
        <v>0</v>
      </c>
    </row>
    <row r="124" spans="1:7">
      <c r="A124" s="605" t="s">
        <v>251</v>
      </c>
      <c r="B124" s="352" t="s">
        <v>1043</v>
      </c>
      <c r="C124" s="620">
        <f>32.5*2</f>
        <v>65</v>
      </c>
      <c r="D124" s="445">
        <f>VLOOKUP(B124,$D$3:$E$9,2,FALSE)</f>
        <v>0</v>
      </c>
      <c r="E124" s="360">
        <f t="shared" ref="E124" si="24">C124*D124</f>
        <v>0</v>
      </c>
      <c r="F124" s="361" t="s">
        <v>337</v>
      </c>
      <c r="G124" s="360">
        <f t="shared" ref="G124" si="25">F124*E124</f>
        <v>0</v>
      </c>
    </row>
    <row r="125" spans="1:7">
      <c r="A125" s="605" t="s">
        <v>251</v>
      </c>
      <c r="B125" s="352" t="s">
        <v>1044</v>
      </c>
      <c r="C125" s="620">
        <f>32.5*2</f>
        <v>65</v>
      </c>
      <c r="D125" s="445">
        <f>VLOOKUP(B125,$D$3:$E$9,2,FALSE)</f>
        <v>0</v>
      </c>
      <c r="E125" s="360">
        <f t="shared" si="8"/>
        <v>0</v>
      </c>
      <c r="F125" s="361" t="s">
        <v>336</v>
      </c>
      <c r="G125" s="360">
        <f t="shared" si="9"/>
        <v>0</v>
      </c>
    </row>
    <row r="126" spans="1:7">
      <c r="A126" s="605" t="s">
        <v>252</v>
      </c>
      <c r="B126" s="612" t="s">
        <v>152</v>
      </c>
      <c r="C126" s="620">
        <v>374</v>
      </c>
      <c r="D126" s="445">
        <f>VLOOKUP(B126,$D$3:$E$9,2,FALSE)</f>
        <v>0</v>
      </c>
      <c r="E126" s="360">
        <f t="shared" ref="E126:E159" si="26">C126*D126</f>
        <v>0</v>
      </c>
      <c r="F126" s="361" t="s">
        <v>336</v>
      </c>
      <c r="G126" s="360">
        <f t="shared" ref="G126:G159" si="27">F126*E126</f>
        <v>0</v>
      </c>
    </row>
    <row r="127" spans="1:7">
      <c r="A127" s="605" t="s">
        <v>252</v>
      </c>
      <c r="B127" s="612" t="s">
        <v>151</v>
      </c>
      <c r="C127" s="620">
        <v>374</v>
      </c>
      <c r="D127" s="445">
        <f>VLOOKUP(B127,$D$3:$E$9,2,FALSE)</f>
        <v>0</v>
      </c>
      <c r="E127" s="360">
        <f t="shared" si="26"/>
        <v>0</v>
      </c>
      <c r="F127" s="361" t="s">
        <v>337</v>
      </c>
      <c r="G127" s="360">
        <f t="shared" si="27"/>
        <v>0</v>
      </c>
    </row>
    <row r="128" spans="1:7">
      <c r="A128" s="605" t="s">
        <v>252</v>
      </c>
      <c r="B128" s="616" t="s">
        <v>1045</v>
      </c>
      <c r="C128" s="620">
        <v>178</v>
      </c>
      <c r="D128" s="445">
        <f>VLOOKUP(B128,$D$3:$E$9,2,FALSE)</f>
        <v>0</v>
      </c>
      <c r="E128" s="360">
        <f t="shared" si="26"/>
        <v>0</v>
      </c>
      <c r="F128" s="361" t="s">
        <v>337</v>
      </c>
      <c r="G128" s="360">
        <f t="shared" si="27"/>
        <v>0</v>
      </c>
    </row>
    <row r="129" spans="1:7">
      <c r="A129" s="605" t="s">
        <v>252</v>
      </c>
      <c r="B129" s="352" t="s">
        <v>1043</v>
      </c>
      <c r="C129" s="620">
        <v>2</v>
      </c>
      <c r="D129" s="445">
        <f>VLOOKUP(B129,$D$3:$E$9,2,FALSE)</f>
        <v>0</v>
      </c>
      <c r="E129" s="360">
        <f t="shared" ref="E129" si="28">C129*D129</f>
        <v>0</v>
      </c>
      <c r="F129" s="361" t="s">
        <v>337</v>
      </c>
      <c r="G129" s="360">
        <f t="shared" ref="G129" si="29">F129*E129</f>
        <v>0</v>
      </c>
    </row>
    <row r="130" spans="1:7">
      <c r="A130" s="605" t="s">
        <v>252</v>
      </c>
      <c r="B130" s="352" t="s">
        <v>1044</v>
      </c>
      <c r="C130" s="620">
        <v>2</v>
      </c>
      <c r="D130" s="445">
        <f>VLOOKUP(B130,$D$3:$E$9,2,FALSE)</f>
        <v>0</v>
      </c>
      <c r="E130" s="360">
        <f t="shared" si="26"/>
        <v>0</v>
      </c>
      <c r="F130" s="361" t="s">
        <v>336</v>
      </c>
      <c r="G130" s="360">
        <f t="shared" si="27"/>
        <v>0</v>
      </c>
    </row>
    <row r="131" spans="1:7">
      <c r="A131" s="605" t="s">
        <v>253</v>
      </c>
      <c r="B131" s="612" t="s">
        <v>152</v>
      </c>
      <c r="C131" s="620">
        <v>538</v>
      </c>
      <c r="D131" s="445">
        <f>VLOOKUP(B131,$D$3:$E$9,2,FALSE)</f>
        <v>0</v>
      </c>
      <c r="E131" s="360">
        <f t="shared" si="26"/>
        <v>0</v>
      </c>
      <c r="F131" s="361" t="s">
        <v>336</v>
      </c>
      <c r="G131" s="360">
        <f t="shared" si="27"/>
        <v>0</v>
      </c>
    </row>
    <row r="132" spans="1:7">
      <c r="A132" s="605" t="s">
        <v>253</v>
      </c>
      <c r="B132" s="612" t="s">
        <v>151</v>
      </c>
      <c r="C132" s="620">
        <v>536</v>
      </c>
      <c r="D132" s="445">
        <f>VLOOKUP(B132,$D$3:$E$9,2,FALSE)</f>
        <v>0</v>
      </c>
      <c r="E132" s="360">
        <f t="shared" si="26"/>
        <v>0</v>
      </c>
      <c r="F132" s="361" t="s">
        <v>337</v>
      </c>
      <c r="G132" s="360">
        <f t="shared" si="27"/>
        <v>0</v>
      </c>
    </row>
    <row r="133" spans="1:7">
      <c r="A133" s="605" t="s">
        <v>253</v>
      </c>
      <c r="B133" s="616" t="s">
        <v>1045</v>
      </c>
      <c r="C133" s="620">
        <v>341</v>
      </c>
      <c r="D133" s="445">
        <f>VLOOKUP(B133,$D$3:$E$9,2,FALSE)</f>
        <v>0</v>
      </c>
      <c r="E133" s="360">
        <f t="shared" si="26"/>
        <v>0</v>
      </c>
      <c r="F133" s="361" t="s">
        <v>337</v>
      </c>
      <c r="G133" s="360">
        <f t="shared" si="27"/>
        <v>0</v>
      </c>
    </row>
    <row r="134" spans="1:7">
      <c r="A134" s="605" t="s">
        <v>253</v>
      </c>
      <c r="B134" s="352" t="s">
        <v>1043</v>
      </c>
      <c r="C134" s="620">
        <v>47</v>
      </c>
      <c r="D134" s="445">
        <f>VLOOKUP(B134,$D$3:$E$9,2,FALSE)</f>
        <v>0</v>
      </c>
      <c r="E134" s="360">
        <f t="shared" ref="E134" si="30">C134*D134</f>
        <v>0</v>
      </c>
      <c r="F134" s="361" t="s">
        <v>337</v>
      </c>
      <c r="G134" s="360">
        <f t="shared" ref="G134" si="31">F134*E134</f>
        <v>0</v>
      </c>
    </row>
    <row r="135" spans="1:7">
      <c r="A135" s="605" t="s">
        <v>253</v>
      </c>
      <c r="B135" s="352" t="s">
        <v>1044</v>
      </c>
      <c r="C135" s="620">
        <v>47</v>
      </c>
      <c r="D135" s="445">
        <f>VLOOKUP(B135,$D$3:$E$9,2,FALSE)</f>
        <v>0</v>
      </c>
      <c r="E135" s="360">
        <f t="shared" si="26"/>
        <v>0</v>
      </c>
      <c r="F135" s="361" t="s">
        <v>336</v>
      </c>
      <c r="G135" s="360">
        <f t="shared" si="27"/>
        <v>0</v>
      </c>
    </row>
    <row r="136" spans="1:7">
      <c r="A136" s="605" t="s">
        <v>254</v>
      </c>
      <c r="B136" s="612" t="s">
        <v>152</v>
      </c>
      <c r="C136" s="620">
        <v>369</v>
      </c>
      <c r="D136" s="445">
        <f>VLOOKUP(B136,$D$3:$E$9,2,FALSE)</f>
        <v>0</v>
      </c>
      <c r="E136" s="360">
        <f t="shared" si="26"/>
        <v>0</v>
      </c>
      <c r="F136" s="361" t="s">
        <v>336</v>
      </c>
      <c r="G136" s="360">
        <f t="shared" si="27"/>
        <v>0</v>
      </c>
    </row>
    <row r="137" spans="1:7">
      <c r="A137" s="605" t="s">
        <v>254</v>
      </c>
      <c r="B137" s="612" t="s">
        <v>151</v>
      </c>
      <c r="C137" s="620">
        <v>369</v>
      </c>
      <c r="D137" s="445">
        <f>VLOOKUP(B137,$D$3:$E$9,2,FALSE)</f>
        <v>0</v>
      </c>
      <c r="E137" s="360">
        <f t="shared" si="26"/>
        <v>0</v>
      </c>
      <c r="F137" s="361" t="s">
        <v>337</v>
      </c>
      <c r="G137" s="360">
        <f t="shared" si="27"/>
        <v>0</v>
      </c>
    </row>
    <row r="138" spans="1:7">
      <c r="A138" s="605" t="s">
        <v>254</v>
      </c>
      <c r="B138" s="616" t="s">
        <v>1045</v>
      </c>
      <c r="C138" s="620">
        <v>139</v>
      </c>
      <c r="D138" s="445">
        <f>VLOOKUP(B138,$D$3:$E$9,2,FALSE)</f>
        <v>0</v>
      </c>
      <c r="E138" s="360">
        <f t="shared" si="26"/>
        <v>0</v>
      </c>
      <c r="F138" s="361" t="s">
        <v>337</v>
      </c>
      <c r="G138" s="360">
        <f t="shared" si="27"/>
        <v>0</v>
      </c>
    </row>
    <row r="139" spans="1:7">
      <c r="A139" s="605" t="s">
        <v>255</v>
      </c>
      <c r="B139" s="612" t="s">
        <v>152</v>
      </c>
      <c r="C139" s="626">
        <v>150.01</v>
      </c>
      <c r="D139" s="445">
        <f>VLOOKUP(B139,$D$3:$E$9,2,FALSE)</f>
        <v>0</v>
      </c>
      <c r="E139" s="360">
        <f t="shared" si="26"/>
        <v>0</v>
      </c>
      <c r="F139" s="361" t="s">
        <v>336</v>
      </c>
      <c r="G139" s="360">
        <f t="shared" si="27"/>
        <v>0</v>
      </c>
    </row>
    <row r="140" spans="1:7">
      <c r="A140" s="605" t="s">
        <v>255</v>
      </c>
      <c r="B140" s="612" t="s">
        <v>151</v>
      </c>
      <c r="C140" s="626">
        <v>149.19</v>
      </c>
      <c r="D140" s="445">
        <f>VLOOKUP(B140,$D$3:$E$9,2,FALSE)</f>
        <v>0</v>
      </c>
      <c r="E140" s="360">
        <f t="shared" si="26"/>
        <v>0</v>
      </c>
      <c r="F140" s="361" t="s">
        <v>337</v>
      </c>
      <c r="G140" s="360">
        <f t="shared" si="27"/>
        <v>0</v>
      </c>
    </row>
    <row r="141" spans="1:7">
      <c r="A141" s="605" t="s">
        <v>255</v>
      </c>
      <c r="B141" s="616" t="s">
        <v>1045</v>
      </c>
      <c r="C141" s="620">
        <v>145.80000000000001</v>
      </c>
      <c r="D141" s="445">
        <f>VLOOKUP(B141,$D$3:$E$9,2,FALSE)</f>
        <v>0</v>
      </c>
      <c r="E141" s="360">
        <f t="shared" si="26"/>
        <v>0</v>
      </c>
      <c r="F141" s="361" t="s">
        <v>337</v>
      </c>
      <c r="G141" s="360">
        <f t="shared" si="27"/>
        <v>0</v>
      </c>
    </row>
    <row r="142" spans="1:7">
      <c r="A142" s="605" t="s">
        <v>256</v>
      </c>
      <c r="B142" s="612" t="s">
        <v>152</v>
      </c>
      <c r="C142" s="626">
        <v>264.72000000000003</v>
      </c>
      <c r="D142" s="445">
        <f>VLOOKUP(B142,$D$3:$E$9,2,FALSE)</f>
        <v>0</v>
      </c>
      <c r="E142" s="360">
        <f t="shared" si="26"/>
        <v>0</v>
      </c>
      <c r="F142" s="361" t="s">
        <v>336</v>
      </c>
      <c r="G142" s="360">
        <f t="shared" si="27"/>
        <v>0</v>
      </c>
    </row>
    <row r="143" spans="1:7">
      <c r="A143" s="605" t="s">
        <v>256</v>
      </c>
      <c r="B143" s="612" t="s">
        <v>151</v>
      </c>
      <c r="C143" s="626">
        <v>263.27999999999997</v>
      </c>
      <c r="D143" s="445">
        <f>VLOOKUP(B143,$D$3:$E$9,2,FALSE)</f>
        <v>0</v>
      </c>
      <c r="E143" s="360">
        <f t="shared" si="26"/>
        <v>0</v>
      </c>
      <c r="F143" s="361" t="s">
        <v>337</v>
      </c>
      <c r="G143" s="360">
        <f t="shared" si="27"/>
        <v>0</v>
      </c>
    </row>
    <row r="144" spans="1:7">
      <c r="A144" s="605" t="s">
        <v>256</v>
      </c>
      <c r="B144" s="616" t="s">
        <v>1045</v>
      </c>
      <c r="C144" s="627">
        <f>128.64*2</f>
        <v>257.27999999999997</v>
      </c>
      <c r="D144" s="445">
        <f>VLOOKUP(B144,$D$3:$E$9,2,FALSE)</f>
        <v>0</v>
      </c>
      <c r="E144" s="360">
        <f t="shared" si="26"/>
        <v>0</v>
      </c>
      <c r="F144" s="361" t="s">
        <v>337</v>
      </c>
      <c r="G144" s="360">
        <f t="shared" si="27"/>
        <v>0</v>
      </c>
    </row>
    <row r="145" spans="1:7">
      <c r="A145" s="605" t="s">
        <v>256</v>
      </c>
      <c r="B145" s="352" t="s">
        <v>1043</v>
      </c>
      <c r="C145" s="620">
        <f>2.5*2</f>
        <v>5</v>
      </c>
      <c r="D145" s="445">
        <f>VLOOKUP(B145,$D$3:$E$9,2,FALSE)</f>
        <v>0</v>
      </c>
      <c r="E145" s="360">
        <f t="shared" ref="E145" si="32">C145*D145</f>
        <v>0</v>
      </c>
      <c r="F145" s="361" t="s">
        <v>337</v>
      </c>
      <c r="G145" s="360">
        <f t="shared" ref="G145" si="33">F145*E145</f>
        <v>0</v>
      </c>
    </row>
    <row r="146" spans="1:7">
      <c r="A146" s="605" t="s">
        <v>256</v>
      </c>
      <c r="B146" s="352" t="s">
        <v>1044</v>
      </c>
      <c r="C146" s="620">
        <f>2.5*2</f>
        <v>5</v>
      </c>
      <c r="D146" s="445">
        <f>VLOOKUP(B146,$D$3:$E$9,2,FALSE)</f>
        <v>0</v>
      </c>
      <c r="E146" s="360">
        <f t="shared" si="26"/>
        <v>0</v>
      </c>
      <c r="F146" s="361" t="s">
        <v>336</v>
      </c>
      <c r="G146" s="360">
        <f t="shared" si="27"/>
        <v>0</v>
      </c>
    </row>
    <row r="147" spans="1:7">
      <c r="A147" s="605" t="s">
        <v>257</v>
      </c>
      <c r="B147" s="612" t="s">
        <v>152</v>
      </c>
      <c r="C147" s="620">
        <v>263</v>
      </c>
      <c r="D147" s="445">
        <f>VLOOKUP(B147,$D$3:$E$9,2,FALSE)</f>
        <v>0</v>
      </c>
      <c r="E147" s="360">
        <f t="shared" si="26"/>
        <v>0</v>
      </c>
      <c r="F147" s="361" t="s">
        <v>336</v>
      </c>
      <c r="G147" s="360">
        <f t="shared" si="27"/>
        <v>0</v>
      </c>
    </row>
    <row r="148" spans="1:7">
      <c r="A148" s="605" t="s">
        <v>257</v>
      </c>
      <c r="B148" s="612" t="s">
        <v>151</v>
      </c>
      <c r="C148" s="620">
        <v>258</v>
      </c>
      <c r="D148" s="445">
        <f>VLOOKUP(B148,$D$3:$E$9,2,FALSE)</f>
        <v>0</v>
      </c>
      <c r="E148" s="360">
        <f t="shared" si="26"/>
        <v>0</v>
      </c>
      <c r="F148" s="361" t="s">
        <v>337</v>
      </c>
      <c r="G148" s="360">
        <f t="shared" si="27"/>
        <v>0</v>
      </c>
    </row>
    <row r="149" spans="1:7">
      <c r="A149" s="605" t="s">
        <v>257</v>
      </c>
      <c r="B149" s="616" t="s">
        <v>1045</v>
      </c>
      <c r="C149" s="620">
        <v>231</v>
      </c>
      <c r="D149" s="445">
        <f>VLOOKUP(B149,$D$3:$E$9,2,FALSE)</f>
        <v>0</v>
      </c>
      <c r="E149" s="360">
        <f t="shared" si="26"/>
        <v>0</v>
      </c>
      <c r="F149" s="361" t="s">
        <v>337</v>
      </c>
      <c r="G149" s="360">
        <f t="shared" si="27"/>
        <v>0</v>
      </c>
    </row>
    <row r="150" spans="1:7">
      <c r="A150" s="605" t="s">
        <v>257</v>
      </c>
      <c r="B150" s="352" t="s">
        <v>1043</v>
      </c>
      <c r="C150" s="620">
        <v>14</v>
      </c>
      <c r="D150" s="445">
        <f>VLOOKUP(B150,$D$3:$E$9,2,FALSE)</f>
        <v>0</v>
      </c>
      <c r="E150" s="360">
        <f t="shared" ref="E150" si="34">C150*D150</f>
        <v>0</v>
      </c>
      <c r="F150" s="361" t="s">
        <v>337</v>
      </c>
      <c r="G150" s="360">
        <f t="shared" ref="G150" si="35">F150*E150</f>
        <v>0</v>
      </c>
    </row>
    <row r="151" spans="1:7">
      <c r="A151" s="605" t="s">
        <v>257</v>
      </c>
      <c r="B151" s="352" t="s">
        <v>1044</v>
      </c>
      <c r="C151" s="620">
        <v>14</v>
      </c>
      <c r="D151" s="445">
        <f>VLOOKUP(B151,$D$3:$E$9,2,FALSE)</f>
        <v>0</v>
      </c>
      <c r="E151" s="360">
        <f t="shared" si="26"/>
        <v>0</v>
      </c>
      <c r="F151" s="361" t="s">
        <v>336</v>
      </c>
      <c r="G151" s="360">
        <f t="shared" si="27"/>
        <v>0</v>
      </c>
    </row>
    <row r="152" spans="1:7">
      <c r="A152" s="605" t="s">
        <v>278</v>
      </c>
      <c r="B152" s="612" t="s">
        <v>152</v>
      </c>
      <c r="C152" s="620">
        <v>57</v>
      </c>
      <c r="D152" s="445">
        <f>VLOOKUP(B152,$D$3:$E$9,2,FALSE)</f>
        <v>0</v>
      </c>
      <c r="E152" s="360">
        <f t="shared" si="26"/>
        <v>0</v>
      </c>
      <c r="F152" s="361" t="s">
        <v>336</v>
      </c>
      <c r="G152" s="360">
        <f t="shared" si="27"/>
        <v>0</v>
      </c>
    </row>
    <row r="153" spans="1:7">
      <c r="A153" s="605" t="s">
        <v>278</v>
      </c>
      <c r="B153" s="612" t="s">
        <v>151</v>
      </c>
      <c r="C153" s="620">
        <v>57</v>
      </c>
      <c r="D153" s="445">
        <f>VLOOKUP(B153,$D$3:$E$9,2,FALSE)</f>
        <v>0</v>
      </c>
      <c r="E153" s="360">
        <f t="shared" si="26"/>
        <v>0</v>
      </c>
      <c r="F153" s="361" t="s">
        <v>337</v>
      </c>
      <c r="G153" s="360">
        <f t="shared" si="27"/>
        <v>0</v>
      </c>
    </row>
    <row r="154" spans="1:7">
      <c r="A154" s="605" t="s">
        <v>278</v>
      </c>
      <c r="B154" s="616" t="s">
        <v>1045</v>
      </c>
      <c r="C154" s="620">
        <v>40</v>
      </c>
      <c r="D154" s="445">
        <f>VLOOKUP(B154,$D$3:$E$9,2,FALSE)</f>
        <v>0</v>
      </c>
      <c r="E154" s="360">
        <f t="shared" si="26"/>
        <v>0</v>
      </c>
      <c r="F154" s="361" t="s">
        <v>337</v>
      </c>
      <c r="G154" s="360">
        <f t="shared" si="27"/>
        <v>0</v>
      </c>
    </row>
    <row r="155" spans="1:7">
      <c r="A155" s="605" t="s">
        <v>258</v>
      </c>
      <c r="B155" s="612" t="s">
        <v>152</v>
      </c>
      <c r="C155" s="626">
        <v>336.40999999999997</v>
      </c>
      <c r="D155" s="445">
        <f>VLOOKUP(B155,$D$3:$E$9,2,FALSE)</f>
        <v>0</v>
      </c>
      <c r="E155" s="360">
        <f t="shared" si="26"/>
        <v>0</v>
      </c>
      <c r="F155" s="361" t="s">
        <v>336</v>
      </c>
      <c r="G155" s="360">
        <f t="shared" si="27"/>
        <v>0</v>
      </c>
    </row>
    <row r="156" spans="1:7">
      <c r="A156" s="605" t="s">
        <v>258</v>
      </c>
      <c r="B156" s="612" t="s">
        <v>151</v>
      </c>
      <c r="C156" s="626">
        <v>334.59000000000003</v>
      </c>
      <c r="D156" s="445">
        <f>VLOOKUP(B156,$D$3:$E$9,2,FALSE)</f>
        <v>0</v>
      </c>
      <c r="E156" s="360">
        <f t="shared" si="26"/>
        <v>0</v>
      </c>
      <c r="F156" s="361" t="s">
        <v>337</v>
      </c>
      <c r="G156" s="360">
        <f t="shared" si="27"/>
        <v>0</v>
      </c>
    </row>
    <row r="157" spans="1:7">
      <c r="A157" s="605" t="s">
        <v>258</v>
      </c>
      <c r="B157" s="616" t="s">
        <v>1045</v>
      </c>
      <c r="C157" s="627">
        <f>71.17*2</f>
        <v>142.34</v>
      </c>
      <c r="D157" s="445">
        <f>VLOOKUP(B157,$D$3:$E$9,2,FALSE)</f>
        <v>0</v>
      </c>
      <c r="E157" s="360">
        <f t="shared" si="26"/>
        <v>0</v>
      </c>
      <c r="F157" s="361" t="s">
        <v>337</v>
      </c>
      <c r="G157" s="360">
        <f t="shared" si="27"/>
        <v>0</v>
      </c>
    </row>
    <row r="158" spans="1:7">
      <c r="A158" s="605" t="s">
        <v>258</v>
      </c>
      <c r="B158" s="352" t="s">
        <v>1043</v>
      </c>
      <c r="C158" s="620">
        <f>50*2</f>
        <v>100</v>
      </c>
      <c r="D158" s="445">
        <f>VLOOKUP(B158,$D$3:$E$9,2,FALSE)</f>
        <v>0</v>
      </c>
      <c r="E158" s="360">
        <f t="shared" ref="E158" si="36">C158*D158</f>
        <v>0</v>
      </c>
      <c r="F158" s="361" t="s">
        <v>337</v>
      </c>
      <c r="G158" s="360">
        <f t="shared" ref="G158" si="37">F158*E158</f>
        <v>0</v>
      </c>
    </row>
    <row r="159" spans="1:7">
      <c r="A159" s="605" t="s">
        <v>258</v>
      </c>
      <c r="B159" s="352" t="s">
        <v>1044</v>
      </c>
      <c r="C159" s="620">
        <f>50*2</f>
        <v>100</v>
      </c>
      <c r="D159" s="445">
        <f>VLOOKUP(B159,$D$3:$E$9,2,FALSE)</f>
        <v>0</v>
      </c>
      <c r="E159" s="360">
        <f t="shared" si="26"/>
        <v>0</v>
      </c>
      <c r="F159" s="361" t="s">
        <v>336</v>
      </c>
      <c r="G159" s="360">
        <f t="shared" si="27"/>
        <v>0</v>
      </c>
    </row>
    <row r="160" spans="1:7">
      <c r="A160" s="303" t="s">
        <v>980</v>
      </c>
      <c r="B160" s="612" t="s">
        <v>152</v>
      </c>
      <c r="C160" s="620"/>
      <c r="D160" s="445">
        <f>VLOOKUP(B160,$D$3:$E$9,2,FALSE)</f>
        <v>0</v>
      </c>
      <c r="E160" s="360">
        <f t="shared" ref="E160:E161" si="38">C160*D160</f>
        <v>0</v>
      </c>
      <c r="F160" s="361" t="s">
        <v>337</v>
      </c>
      <c r="G160" s="360">
        <f t="shared" ref="G160:G161" si="39">F160*E160</f>
        <v>0</v>
      </c>
    </row>
    <row r="161" spans="1:7">
      <c r="A161" s="303" t="s">
        <v>980</v>
      </c>
      <c r="B161" s="612" t="s">
        <v>151</v>
      </c>
      <c r="C161" s="620"/>
      <c r="D161" s="445">
        <f>VLOOKUP(B161,$D$3:$E$9,2,FALSE)</f>
        <v>0</v>
      </c>
      <c r="E161" s="360">
        <f t="shared" si="38"/>
        <v>0</v>
      </c>
      <c r="F161" s="361" t="s">
        <v>336</v>
      </c>
      <c r="G161" s="360">
        <f t="shared" si="39"/>
        <v>0</v>
      </c>
    </row>
    <row r="162" spans="1:7">
      <c r="A162" s="303" t="s">
        <v>980</v>
      </c>
      <c r="B162" s="616" t="s">
        <v>1045</v>
      </c>
      <c r="C162" s="620"/>
      <c r="D162" s="445">
        <f>VLOOKUP(B162,$D$3:$E$9,2,FALSE)</f>
        <v>0</v>
      </c>
      <c r="E162" s="360">
        <f t="shared" ref="E162" si="40">C162*D162</f>
        <v>0</v>
      </c>
      <c r="F162" s="361" t="s">
        <v>337</v>
      </c>
      <c r="G162" s="360">
        <f t="shared" ref="G162" si="41">F162*E162</f>
        <v>0</v>
      </c>
    </row>
    <row r="163" spans="1:7">
      <c r="A163" s="609"/>
      <c r="B163" s="628"/>
      <c r="C163" s="620"/>
      <c r="D163" s="617"/>
      <c r="E163" s="618"/>
      <c r="F163" s="619"/>
      <c r="G163" s="618"/>
    </row>
    <row r="164" spans="1:7" s="633" customFormat="1" ht="26.4">
      <c r="A164" s="608" t="s">
        <v>1046</v>
      </c>
      <c r="B164" s="616" t="s">
        <v>1135</v>
      </c>
      <c r="C164" s="629">
        <v>1000</v>
      </c>
      <c r="D164" s="630">
        <f>VLOOKUP(B164,$D$3:$E$9,2,FALSE)</f>
        <v>0</v>
      </c>
      <c r="E164" s="631">
        <f t="shared" ref="E164" si="42">C164*D164</f>
        <v>0</v>
      </c>
      <c r="F164" s="632" t="s">
        <v>337</v>
      </c>
      <c r="G164" s="631">
        <f t="shared" ref="G164" si="43">F164*E164</f>
        <v>0</v>
      </c>
    </row>
    <row r="166" spans="1:7">
      <c r="A166" s="615" t="s">
        <v>9</v>
      </c>
      <c r="B166" s="613"/>
      <c r="C166" s="613"/>
      <c r="D166" s="614"/>
      <c r="E166" s="438">
        <f>SUM(E11:E165)</f>
        <v>0</v>
      </c>
      <c r="F166" s="439"/>
      <c r="G166" s="438">
        <f>SUM(G11:G165)</f>
        <v>0</v>
      </c>
    </row>
  </sheetData>
  <autoFilter ref="A10:AB164" xr:uid="{00000000-0009-0000-0000-00000A000000}"/>
  <phoneticPr fontId="113" type="noConversion"/>
  <printOptions horizontalCentered="1"/>
  <pageMargins left="0.7" right="0.7" top="0.75" bottom="0.75" header="0.3" footer="0.3"/>
  <pageSetup paperSize="9" scale="86" fitToHeight="0" orientation="landscape" r:id="rId1"/>
  <headerFooter alignWithMargins="0">
    <oddFooter>&amp;L&amp;F-&amp;A
Atir b.v. ©&amp;Rprintversie &amp;D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A1:N18"/>
  <sheetViews>
    <sheetView showGridLines="0" zoomScaleNormal="100" zoomScaleSheetLayoutView="100" zoomScalePageLayoutView="50" workbookViewId="0">
      <pane ySplit="12" topLeftCell="A13" activePane="bottomLeft" state="frozen"/>
      <selection pane="bottomLeft" activeCell="M31" sqref="M31"/>
    </sheetView>
  </sheetViews>
  <sheetFormatPr defaultColWidth="9.109375" defaultRowHeight="13.2"/>
  <cols>
    <col min="1" max="1" width="32.109375" style="350" customWidth="1"/>
    <col min="2" max="2" width="35" style="350" customWidth="1"/>
    <col min="3" max="3" width="29.6640625" style="350" customWidth="1"/>
    <col min="4" max="4" width="25.88671875" style="350" customWidth="1"/>
    <col min="5" max="5" width="13.33203125" style="350" customWidth="1"/>
    <col min="6" max="6" width="12.88671875" style="350" bestFit="1" customWidth="1"/>
    <col min="7" max="8" width="12.88671875" style="350" customWidth="1"/>
    <col min="9" max="9" width="16.109375" style="350" bestFit="1" customWidth="1"/>
    <col min="10" max="10" width="12.44140625" style="350" bestFit="1" customWidth="1"/>
    <col min="11" max="16384" width="9.109375" style="350"/>
  </cols>
  <sheetData>
    <row r="1" spans="1:14">
      <c r="A1" s="421" t="s">
        <v>26</v>
      </c>
      <c r="B1" s="104"/>
      <c r="C1" s="104"/>
      <c r="D1" s="104"/>
      <c r="E1" s="104"/>
      <c r="F1" s="104"/>
      <c r="G1" s="104"/>
      <c r="H1" s="104"/>
      <c r="I1" s="104"/>
      <c r="J1" s="104"/>
      <c r="K1" s="104"/>
      <c r="L1" s="104"/>
      <c r="M1" s="104"/>
    </row>
    <row r="2" spans="1:14" ht="15.6">
      <c r="A2" s="368"/>
      <c r="B2" s="104"/>
      <c r="C2" s="104"/>
      <c r="D2" s="104"/>
      <c r="E2" s="104"/>
      <c r="F2" s="369"/>
      <c r="G2" s="369"/>
      <c r="H2" s="369"/>
      <c r="I2" s="369"/>
      <c r="J2" s="369"/>
      <c r="K2" s="369"/>
      <c r="L2" s="104"/>
      <c r="M2" s="104"/>
    </row>
    <row r="3" spans="1:14" ht="15.6">
      <c r="A3" s="81" t="str">
        <f>'1-Contractblad totaal'!A3</f>
        <v>Naam opdrachtgever</v>
      </c>
      <c r="B3" s="367" t="str">
        <f>'1-Contractblad totaal'!B3</f>
        <v>Elevantio</v>
      </c>
      <c r="C3" s="369"/>
      <c r="D3" s="369"/>
      <c r="E3" s="104"/>
      <c r="F3" s="104"/>
      <c r="G3" s="104"/>
      <c r="H3" s="104"/>
      <c r="I3" s="104"/>
      <c r="J3" s="369"/>
      <c r="K3" s="369"/>
      <c r="L3" s="312"/>
      <c r="M3" s="104"/>
    </row>
    <row r="4" spans="1:14" ht="15">
      <c r="A4" s="81" t="str">
        <f>'1-Contractblad totaal'!A4</f>
        <v>Calculatie onderdeel</v>
      </c>
      <c r="B4" s="367" t="str">
        <f ca="1">MID(CELL("bestandsnaam",$C$8),SEARCH("]",CELL("bestandsnaam",$C$8),1)+1,256)</f>
        <v>11-Sanitaire voorzieningen</v>
      </c>
      <c r="C4" s="369"/>
      <c r="D4" s="369"/>
      <c r="E4" s="104"/>
      <c r="F4" s="369"/>
      <c r="G4" s="369"/>
      <c r="H4" s="369"/>
      <c r="I4" s="369"/>
      <c r="J4" s="369"/>
      <c r="K4" s="369"/>
      <c r="L4" s="369"/>
      <c r="M4" s="369"/>
    </row>
    <row r="5" spans="1:14" ht="15">
      <c r="A5" s="81" t="str">
        <f>'1-Contractblad totaal'!A5</f>
        <v>Gebouw/plaats</v>
      </c>
      <c r="B5" s="367" t="str">
        <f>'1-Contractblad totaal'!B5</f>
        <v>Markt 1, Axel</v>
      </c>
      <c r="C5" s="369"/>
      <c r="D5" s="369"/>
      <c r="E5" s="104"/>
      <c r="F5" s="104"/>
      <c r="G5" s="104"/>
      <c r="H5" s="104"/>
      <c r="I5" s="104"/>
      <c r="J5" s="369"/>
      <c r="K5" s="369"/>
      <c r="L5" s="369"/>
      <c r="M5" s="369"/>
    </row>
    <row r="6" spans="1:14" ht="15">
      <c r="A6" s="81" t="str">
        <f>'1-Contractblad totaal'!A6</f>
        <v>Referentie nummer</v>
      </c>
      <c r="B6" s="367" t="str">
        <f>'1-Contractblad totaal'!B6</f>
        <v>Elevantio-EA-LK-RT-2022</v>
      </c>
      <c r="C6" s="369"/>
      <c r="D6" s="369"/>
      <c r="E6" s="104"/>
      <c r="F6" s="369"/>
      <c r="G6" s="369"/>
      <c r="H6" s="369"/>
      <c r="I6" s="369"/>
      <c r="J6" s="369"/>
      <c r="K6" s="369"/>
      <c r="L6" s="369"/>
      <c r="M6" s="369"/>
    </row>
    <row r="7" spans="1:14" ht="15">
      <c r="A7" s="81" t="str">
        <f>'1-Contractblad totaal'!A8</f>
        <v>Naam dienstverlener</v>
      </c>
      <c r="B7" s="367">
        <f>'1-Contractblad totaal'!B8</f>
        <v>0</v>
      </c>
      <c r="C7" s="369"/>
      <c r="D7" s="369"/>
      <c r="E7" s="104"/>
      <c r="F7" s="104"/>
      <c r="G7" s="104"/>
      <c r="H7" s="104"/>
      <c r="I7" s="104"/>
      <c r="J7" s="313"/>
      <c r="K7" s="313"/>
      <c r="L7" s="313"/>
      <c r="M7" s="104"/>
    </row>
    <row r="8" spans="1:14" ht="15">
      <c r="A8" s="81" t="str">
        <f>'1-Contractblad totaal'!A9</f>
        <v>Prijspeil</v>
      </c>
      <c r="B8" s="114">
        <f>'1-Contractblad totaal'!B9</f>
        <v>44652</v>
      </c>
      <c r="C8" s="369"/>
      <c r="D8" s="369"/>
      <c r="E8" s="369"/>
      <c r="F8" s="369"/>
      <c r="G8" s="369"/>
      <c r="H8" s="313"/>
      <c r="I8" s="313"/>
      <c r="J8" s="313"/>
      <c r="K8" s="313"/>
      <c r="L8" s="104"/>
    </row>
    <row r="9" spans="1:14" ht="15">
      <c r="A9" s="366"/>
      <c r="B9" s="315"/>
      <c r="C9" s="370"/>
      <c r="D9" s="370"/>
      <c r="E9" s="370"/>
      <c r="F9" s="370"/>
      <c r="G9" s="370"/>
      <c r="H9" s="313"/>
      <c r="I9" s="313"/>
      <c r="J9" s="313"/>
      <c r="K9" s="313"/>
      <c r="L9" s="104"/>
    </row>
    <row r="10" spans="1:14" ht="15">
      <c r="A10" s="375" t="s">
        <v>924</v>
      </c>
      <c r="B10" s="315"/>
      <c r="C10" s="370"/>
      <c r="D10" s="370"/>
      <c r="E10" s="370"/>
      <c r="F10" s="370"/>
      <c r="G10" s="370"/>
      <c r="H10" s="313"/>
      <c r="I10" s="313"/>
      <c r="J10" s="313"/>
      <c r="K10" s="313"/>
      <c r="L10" s="104"/>
    </row>
    <row r="11" spans="1:14" ht="46.2" customHeight="1">
      <c r="A11" s="375" t="s">
        <v>159</v>
      </c>
      <c r="B11" s="376" t="s">
        <v>160</v>
      </c>
      <c r="C11" s="376" t="s">
        <v>158</v>
      </c>
      <c r="D11" s="376" t="s">
        <v>1136</v>
      </c>
      <c r="E11" s="377" t="s">
        <v>1142</v>
      </c>
      <c r="F11" s="377" t="s">
        <v>1142</v>
      </c>
      <c r="G11" s="377" t="s">
        <v>1142</v>
      </c>
      <c r="H11" s="313"/>
      <c r="J11" s="313"/>
      <c r="K11" s="313"/>
      <c r="L11" s="315"/>
      <c r="M11" s="315"/>
      <c r="N11" s="371"/>
    </row>
    <row r="12" spans="1:14" ht="25.2">
      <c r="A12" s="375"/>
      <c r="B12" s="376"/>
      <c r="C12" s="376"/>
      <c r="D12" s="376"/>
      <c r="E12" s="639" t="s">
        <v>1053</v>
      </c>
      <c r="F12" s="639" t="s">
        <v>1054</v>
      </c>
      <c r="G12" s="639" t="s">
        <v>1055</v>
      </c>
      <c r="H12" s="313"/>
      <c r="J12" s="313"/>
      <c r="K12" s="313"/>
      <c r="L12" s="315"/>
      <c r="M12" s="315"/>
      <c r="N12" s="371"/>
    </row>
    <row r="13" spans="1:14" ht="12.75" customHeight="1">
      <c r="A13" s="372" t="s">
        <v>1137</v>
      </c>
      <c r="B13" s="372" t="s">
        <v>1137</v>
      </c>
      <c r="C13" s="422"/>
      <c r="D13" s="782"/>
      <c r="E13" s="424">
        <v>0</v>
      </c>
      <c r="F13" s="424">
        <v>0</v>
      </c>
      <c r="G13" s="424">
        <v>0</v>
      </c>
      <c r="H13" s="313"/>
      <c r="J13" s="313"/>
      <c r="K13" s="313"/>
      <c r="L13" s="315"/>
      <c r="M13" s="315"/>
      <c r="N13" s="371"/>
    </row>
    <row r="14" spans="1:14" ht="12.75" customHeight="1">
      <c r="A14" s="372" t="s">
        <v>1138</v>
      </c>
      <c r="B14" s="372" t="s">
        <v>1138</v>
      </c>
      <c r="C14" s="422"/>
      <c r="D14" s="782"/>
      <c r="E14" s="424">
        <v>0</v>
      </c>
      <c r="F14" s="424">
        <v>0</v>
      </c>
      <c r="G14" s="424">
        <v>0</v>
      </c>
      <c r="H14" s="313"/>
      <c r="J14" s="313"/>
      <c r="K14" s="313"/>
      <c r="L14" s="315"/>
      <c r="M14" s="315"/>
      <c r="N14" s="371"/>
    </row>
    <row r="15" spans="1:14" ht="12.75" customHeight="1">
      <c r="A15" s="372" t="s">
        <v>1139</v>
      </c>
      <c r="B15" s="372" t="s">
        <v>1139</v>
      </c>
      <c r="C15" s="422"/>
      <c r="D15" s="782"/>
      <c r="E15" s="424">
        <v>0</v>
      </c>
      <c r="F15" s="424">
        <v>0</v>
      </c>
      <c r="G15" s="424">
        <v>0</v>
      </c>
      <c r="H15" s="313"/>
      <c r="J15" s="313"/>
      <c r="K15" s="313"/>
      <c r="L15" s="315"/>
      <c r="M15" s="315"/>
      <c r="N15" s="371"/>
    </row>
    <row r="16" spans="1:14" ht="12.75" customHeight="1">
      <c r="A16" s="372" t="s">
        <v>1140</v>
      </c>
      <c r="B16" s="372" t="s">
        <v>1140</v>
      </c>
      <c r="C16" s="422"/>
      <c r="D16" s="783" t="s">
        <v>1141</v>
      </c>
      <c r="E16" s="424">
        <v>0</v>
      </c>
      <c r="F16" s="424">
        <v>0</v>
      </c>
      <c r="G16" s="424">
        <v>0</v>
      </c>
      <c r="H16" s="313"/>
      <c r="J16" s="313"/>
      <c r="K16" s="313"/>
      <c r="L16" s="315"/>
      <c r="M16" s="315"/>
      <c r="N16" s="371"/>
    </row>
    <row r="17" spans="1:11" ht="15">
      <c r="H17" s="313"/>
      <c r="K17" s="313"/>
    </row>
    <row r="18" spans="1:11" ht="13.5" customHeight="1">
      <c r="A18" s="378" t="s">
        <v>215</v>
      </c>
      <c r="B18" s="373"/>
      <c r="C18" s="374"/>
      <c r="D18" s="374"/>
      <c r="E18" s="104"/>
      <c r="F18" s="104"/>
      <c r="G18" s="104"/>
      <c r="H18" s="313"/>
      <c r="I18" s="313"/>
      <c r="K18" s="313"/>
    </row>
  </sheetData>
  <pageMargins left="0.59055118110236227" right="0.59055118110236227" top="0.59055118110236227" bottom="0.78740157480314965" header="0.39370078740157483" footer="0.19685039370078741"/>
  <pageSetup paperSize="9" scale="84" fitToHeight="0" orientation="landscape" r:id="rId1"/>
  <headerFooter alignWithMargins="0">
    <oddFooter>&amp;L&amp;"Verdana,Standaard"&amp;F-&amp;A
Atir b.v. ©&amp;R&amp;"Verdana,Standaard"printversie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Q52"/>
  <sheetViews>
    <sheetView showGridLines="0" tabSelected="1" zoomScale="86" zoomScaleNormal="86" workbookViewId="0">
      <pane ySplit="10" topLeftCell="A11" activePane="bottomLeft" state="frozen"/>
      <selection activeCell="D33" sqref="D33"/>
      <selection pane="bottomLeft" activeCell="B8" sqref="B8:D8"/>
    </sheetView>
  </sheetViews>
  <sheetFormatPr defaultColWidth="9.33203125" defaultRowHeight="13.2"/>
  <cols>
    <col min="1" max="1" width="35.5546875" style="50" customWidth="1"/>
    <col min="2" max="2" width="22.88671875" style="50" bestFit="1" customWidth="1"/>
    <col min="3" max="3" width="16.109375" style="50" customWidth="1"/>
    <col min="4" max="4" width="3.6640625" style="50" customWidth="1"/>
    <col min="5" max="7" width="12.6640625" style="50" customWidth="1"/>
    <col min="8" max="8" width="17.6640625" style="50" customWidth="1"/>
    <col min="9" max="9" width="2.44140625" style="50" customWidth="1"/>
    <col min="10" max="10" width="35.109375" style="50" customWidth="1"/>
    <col min="11" max="11" width="26.6640625" style="50" customWidth="1"/>
    <col min="12" max="12" width="17.109375" style="50" customWidth="1"/>
    <col min="13" max="13" width="16.33203125" style="50" bestFit="1" customWidth="1"/>
    <col min="14" max="14" width="18.5546875" style="50" bestFit="1" customWidth="1"/>
    <col min="15" max="15" width="10.33203125" style="50" bestFit="1" customWidth="1"/>
    <col min="16" max="16384" width="9.33203125" style="50"/>
  </cols>
  <sheetData>
    <row r="1" spans="1:17">
      <c r="A1" s="407" t="s">
        <v>26</v>
      </c>
      <c r="B1" s="49"/>
      <c r="C1" s="49"/>
    </row>
    <row r="2" spans="1:17">
      <c r="A2" s="51"/>
      <c r="B2" s="49"/>
      <c r="C2" s="49"/>
    </row>
    <row r="3" spans="1:17" s="53" customFormat="1" ht="15">
      <c r="A3" s="81" t="s">
        <v>30</v>
      </c>
      <c r="B3" s="82" t="s">
        <v>220</v>
      </c>
      <c r="C3" s="82"/>
      <c r="D3" s="83"/>
      <c r="E3" s="52"/>
      <c r="F3" s="52"/>
      <c r="G3" s="50"/>
      <c r="H3" s="50"/>
      <c r="I3" s="50"/>
      <c r="J3" s="50"/>
      <c r="K3" s="50"/>
      <c r="L3" s="50"/>
      <c r="M3" s="50"/>
    </row>
    <row r="4" spans="1:17" s="53" customFormat="1" ht="15">
      <c r="A4" s="81" t="s">
        <v>15</v>
      </c>
      <c r="B4" s="82" t="str">
        <f ca="1">MID(CELL("bestandsnaam",$D$10),SEARCH("]",CELL("bestandsnaam",$D$10),1)+1,256)</f>
        <v>1-Contractblad totaal</v>
      </c>
      <c r="C4" s="82"/>
      <c r="D4" s="83"/>
      <c r="E4" s="52"/>
      <c r="F4" s="52"/>
      <c r="G4" s="50"/>
      <c r="H4" s="50"/>
      <c r="I4" s="50"/>
      <c r="J4" s="50"/>
      <c r="K4" s="50"/>
      <c r="L4" s="50"/>
      <c r="M4" s="50"/>
    </row>
    <row r="5" spans="1:17" s="53" customFormat="1" ht="15">
      <c r="A5" s="81" t="s">
        <v>81</v>
      </c>
      <c r="B5" s="82" t="s">
        <v>222</v>
      </c>
      <c r="C5" s="82"/>
      <c r="D5" s="83"/>
      <c r="E5" s="52"/>
      <c r="F5" s="52"/>
      <c r="G5" s="54"/>
      <c r="H5" s="54"/>
      <c r="M5" s="50"/>
    </row>
    <row r="6" spans="1:17" s="53" customFormat="1" ht="15">
      <c r="A6" s="81" t="s">
        <v>209</v>
      </c>
      <c r="B6" s="82" t="s">
        <v>1125</v>
      </c>
      <c r="C6" s="82"/>
      <c r="D6" s="83"/>
      <c r="E6" s="52"/>
      <c r="F6" s="52"/>
      <c r="G6" s="54"/>
      <c r="H6" s="54"/>
      <c r="M6" s="50"/>
    </row>
    <row r="7" spans="1:17" s="53" customFormat="1" ht="15">
      <c r="A7" s="81" t="s">
        <v>184</v>
      </c>
      <c r="B7" s="450" t="s">
        <v>1143</v>
      </c>
      <c r="C7" s="82"/>
      <c r="D7" s="83"/>
      <c r="E7" s="52"/>
      <c r="F7" s="52"/>
      <c r="G7" s="54"/>
      <c r="H7" s="54"/>
      <c r="M7" s="50"/>
    </row>
    <row r="8" spans="1:17" s="53" customFormat="1" ht="15">
      <c r="A8" s="81" t="s">
        <v>186</v>
      </c>
      <c r="B8" s="746"/>
      <c r="C8" s="746"/>
      <c r="D8" s="747"/>
      <c r="E8" s="52"/>
      <c r="F8" s="52"/>
      <c r="G8" s="54"/>
      <c r="H8" s="54"/>
      <c r="M8" s="50"/>
    </row>
    <row r="9" spans="1:17" s="53" customFormat="1" ht="15">
      <c r="A9" s="81" t="s">
        <v>11</v>
      </c>
      <c r="B9" s="114">
        <v>44652</v>
      </c>
      <c r="C9" s="84"/>
      <c r="D9" s="83"/>
      <c r="E9" s="52"/>
      <c r="F9" s="52"/>
      <c r="G9" s="54"/>
      <c r="H9" s="54"/>
      <c r="I9" s="54"/>
      <c r="M9" s="50"/>
      <c r="P9" s="54"/>
      <c r="Q9" s="54"/>
    </row>
    <row r="10" spans="1:17" s="53" customFormat="1" ht="15">
      <c r="A10" s="55"/>
      <c r="G10" s="56"/>
      <c r="H10" s="56"/>
      <c r="M10" s="50"/>
    </row>
    <row r="11" spans="1:17" s="53" customFormat="1" ht="15">
      <c r="A11" s="57" t="s">
        <v>135</v>
      </c>
      <c r="B11" s="58"/>
      <c r="C11" s="58"/>
      <c r="D11" s="58"/>
      <c r="E11" s="58"/>
      <c r="F11" s="58"/>
      <c r="G11" s="59"/>
      <c r="H11" s="60"/>
      <c r="M11" s="50"/>
    </row>
    <row r="12" spans="1:17" ht="15">
      <c r="J12" s="53"/>
      <c r="K12" s="53"/>
      <c r="L12" s="53"/>
      <c r="N12" s="53"/>
      <c r="O12" s="53"/>
    </row>
    <row r="13" spans="1:17" ht="26.4">
      <c r="A13" s="85" t="s">
        <v>12</v>
      </c>
      <c r="D13" s="86"/>
      <c r="E13" s="86"/>
      <c r="F13" s="86" t="s">
        <v>48</v>
      </c>
      <c r="G13" s="86" t="s">
        <v>127</v>
      </c>
      <c r="H13" s="87" t="s">
        <v>43</v>
      </c>
      <c r="I13" s="61"/>
      <c r="J13" s="53"/>
      <c r="K13" s="53"/>
      <c r="L13" s="53"/>
      <c r="N13" s="53"/>
      <c r="O13" s="53"/>
    </row>
    <row r="14" spans="1:17" ht="15">
      <c r="A14" s="89" t="s">
        <v>128</v>
      </c>
      <c r="B14" s="89" t="s">
        <v>129</v>
      </c>
      <c r="C14" s="89" t="s">
        <v>130</v>
      </c>
      <c r="D14" s="90"/>
      <c r="E14" s="86"/>
      <c r="F14" s="62" t="e">
        <f>SUM('4-Basis ruimtestaat'!T:T)</f>
        <v>#DIV/0!</v>
      </c>
      <c r="G14" s="63" t="e">
        <f>'6-Opbouw uurtarief productie'!E47</f>
        <v>#DIV/0!</v>
      </c>
      <c r="H14" s="64" t="e">
        <f>G14*F14</f>
        <v>#DIV/0!</v>
      </c>
      <c r="I14" s="61"/>
      <c r="J14" s="53"/>
      <c r="K14" s="53"/>
      <c r="L14" s="53"/>
      <c r="N14" s="53"/>
      <c r="O14" s="53"/>
    </row>
    <row r="15" spans="1:17" ht="15">
      <c r="A15" s="89" t="s">
        <v>1052</v>
      </c>
      <c r="B15" s="89"/>
      <c r="C15" s="89"/>
      <c r="D15" s="90"/>
      <c r="E15" s="637"/>
      <c r="F15" s="62" t="e">
        <f>'2-Kosten per locatie'!G57</f>
        <v>#DIV/0!</v>
      </c>
      <c r="G15" s="63" t="e">
        <f>'6-Opbouw uurtarief productie'!E47</f>
        <v>#DIV/0!</v>
      </c>
      <c r="H15" s="64" t="e">
        <f>G15*F15</f>
        <v>#DIV/0!</v>
      </c>
      <c r="I15" s="61"/>
      <c r="J15" s="53"/>
      <c r="K15" s="53"/>
      <c r="L15" s="53"/>
      <c r="N15" s="53"/>
      <c r="O15" s="53"/>
    </row>
    <row r="16" spans="1:17" ht="15">
      <c r="A16" s="89"/>
      <c r="B16" s="91"/>
      <c r="C16" s="91"/>
      <c r="D16" s="91"/>
      <c r="E16" s="91"/>
      <c r="F16" s="92"/>
      <c r="G16" s="91"/>
      <c r="H16" s="91"/>
      <c r="I16" s="91"/>
      <c r="J16" s="88"/>
      <c r="K16" s="53"/>
      <c r="L16" s="53"/>
      <c r="M16" s="53"/>
      <c r="N16" s="53"/>
      <c r="O16" s="53"/>
    </row>
    <row r="17" spans="1:15" ht="15">
      <c r="A17" s="89" t="s">
        <v>131</v>
      </c>
      <c r="B17" s="89" t="s">
        <v>129</v>
      </c>
      <c r="C17" s="89" t="s">
        <v>130</v>
      </c>
      <c r="D17" s="91"/>
      <c r="E17" s="638" t="e">
        <f>'2-Kosten per locatie'!H57</f>
        <v>#DIV/0!</v>
      </c>
      <c r="F17" s="66" t="e">
        <f>F14*E17</f>
        <v>#DIV/0!</v>
      </c>
      <c r="G17" s="63" t="e">
        <f>'7-Opbouw uurtarief toezicht'!E47</f>
        <v>#DIV/0!</v>
      </c>
      <c r="H17" s="64" t="e">
        <f>G17*F17</f>
        <v>#DIV/0!</v>
      </c>
      <c r="J17" s="88"/>
      <c r="K17" s="53"/>
      <c r="L17" s="53"/>
      <c r="M17" s="53"/>
      <c r="N17" s="53"/>
      <c r="O17" s="53"/>
    </row>
    <row r="18" spans="1:15" ht="15">
      <c r="A18" s="89"/>
      <c r="B18" s="89"/>
      <c r="C18" s="95"/>
      <c r="D18" s="89"/>
      <c r="E18" s="96"/>
      <c r="F18" s="94"/>
      <c r="G18" s="89"/>
      <c r="H18" s="89"/>
      <c r="I18" s="89"/>
      <c r="J18" s="88"/>
      <c r="K18" s="53"/>
      <c r="L18" s="53"/>
      <c r="M18" s="53"/>
      <c r="N18" s="53"/>
      <c r="O18" s="53"/>
    </row>
    <row r="19" spans="1:15" ht="15">
      <c r="A19" s="97" t="s">
        <v>180</v>
      </c>
      <c r="B19" s="93" t="s">
        <v>129</v>
      </c>
      <c r="C19" s="93" t="s">
        <v>130</v>
      </c>
      <c r="D19" s="93"/>
      <c r="E19" s="67"/>
      <c r="F19" s="98"/>
      <c r="G19" s="68" t="e">
        <f>(H17+H14)/F14</f>
        <v>#DIV/0!</v>
      </c>
      <c r="H19" s="89"/>
      <c r="I19" s="89"/>
      <c r="J19" s="88"/>
      <c r="K19" s="53"/>
      <c r="L19" s="53"/>
      <c r="M19" s="53"/>
      <c r="N19" s="53"/>
      <c r="O19" s="53"/>
    </row>
    <row r="20" spans="1:15" ht="15">
      <c r="A20" s="89"/>
      <c r="B20" s="89"/>
      <c r="C20" s="89"/>
      <c r="D20" s="89"/>
      <c r="E20" s="89"/>
      <c r="F20" s="89"/>
      <c r="G20" s="89"/>
      <c r="H20" s="89"/>
      <c r="J20" s="88"/>
      <c r="K20" s="53"/>
      <c r="L20" s="53"/>
      <c r="M20" s="53"/>
      <c r="N20" s="53"/>
      <c r="O20" s="53"/>
    </row>
    <row r="21" spans="1:15" ht="15">
      <c r="A21" s="99" t="s">
        <v>132</v>
      </c>
      <c r="H21" s="100" t="e">
        <f>SUM(H14:H20)</f>
        <v>#DIV/0!</v>
      </c>
      <c r="I21" s="69"/>
      <c r="J21" s="88"/>
      <c r="K21" s="53"/>
      <c r="L21" s="53"/>
      <c r="M21" s="53"/>
      <c r="N21" s="53"/>
      <c r="O21" s="53"/>
    </row>
    <row r="22" spans="1:15" ht="15">
      <c r="A22" s="71" t="s">
        <v>10</v>
      </c>
      <c r="G22" s="72">
        <v>0.21</v>
      </c>
      <c r="H22" s="73" t="e">
        <f>G22*H21</f>
        <v>#DIV/0!</v>
      </c>
      <c r="I22" s="69"/>
      <c r="J22" s="88"/>
      <c r="K22" s="53"/>
      <c r="L22" s="53"/>
      <c r="M22" s="53"/>
      <c r="N22" s="53"/>
      <c r="O22" s="53"/>
    </row>
    <row r="23" spans="1:15" ht="15">
      <c r="A23" s="71" t="s">
        <v>27</v>
      </c>
      <c r="G23" s="61" t="s">
        <v>59</v>
      </c>
      <c r="H23" s="64" t="e">
        <f>H22+H21</f>
        <v>#DIV/0!</v>
      </c>
      <c r="I23" s="69"/>
      <c r="J23" s="53"/>
      <c r="K23" s="53"/>
      <c r="L23" s="53"/>
      <c r="M23" s="53"/>
      <c r="N23" s="53"/>
      <c r="O23" s="53"/>
    </row>
    <row r="24" spans="1:15" ht="15">
      <c r="A24" s="71"/>
      <c r="G24" s="61"/>
      <c r="H24" s="64"/>
      <c r="I24" s="70"/>
      <c r="J24" s="53"/>
      <c r="K24" s="53"/>
      <c r="L24" s="53"/>
      <c r="M24" s="53"/>
      <c r="N24" s="53"/>
      <c r="O24" s="53"/>
    </row>
    <row r="25" spans="1:15" s="53" customFormat="1" ht="15">
      <c r="A25" s="57" t="s">
        <v>213</v>
      </c>
      <c r="B25" s="58"/>
      <c r="C25" s="58"/>
      <c r="D25" s="58"/>
      <c r="E25" s="58"/>
      <c r="F25" s="58"/>
      <c r="G25" s="59"/>
      <c r="H25" s="60"/>
    </row>
    <row r="26" spans="1:15" ht="15">
      <c r="J26" s="53"/>
      <c r="K26" s="53"/>
      <c r="L26" s="53"/>
      <c r="O26" s="53"/>
    </row>
    <row r="27" spans="1:15" ht="15">
      <c r="A27" s="89" t="str">
        <f ca="1">'8-Additionele werkzaamheden'!B4</f>
        <v>8-Additionele werkzaamheden</v>
      </c>
      <c r="B27" s="74"/>
      <c r="C27" s="74"/>
      <c r="D27" s="74"/>
      <c r="E27" s="74"/>
      <c r="F27" s="74"/>
      <c r="G27" s="74"/>
      <c r="H27" s="75">
        <f>'8-Additionele werkzaamheden'!G57</f>
        <v>0</v>
      </c>
      <c r="J27" s="53"/>
      <c r="K27" s="53"/>
      <c r="L27" s="53"/>
    </row>
    <row r="28" spans="1:15" ht="15">
      <c r="A28" s="89"/>
      <c r="B28" s="74"/>
      <c r="C28" s="74"/>
      <c r="D28" s="74"/>
      <c r="E28" s="74"/>
      <c r="F28" s="74"/>
      <c r="G28" s="74"/>
      <c r="H28" s="75"/>
      <c r="J28" s="53"/>
      <c r="K28" s="53"/>
      <c r="L28" s="53"/>
    </row>
    <row r="29" spans="1:15" ht="15">
      <c r="A29" s="636" t="str">
        <f ca="1">'9b-Vloeronderhoud'!B4</f>
        <v>9b-Vloeronderhoud</v>
      </c>
      <c r="B29" s="74"/>
      <c r="C29" s="74"/>
      <c r="D29" s="74"/>
      <c r="E29" s="74"/>
      <c r="F29" s="74"/>
      <c r="G29" s="74"/>
      <c r="H29" s="75" t="e">
        <f>'9b-Vloeronderhoud'!D62+'9b-Vloeronderhoud'!H62+'9b-Vloeronderhoud'!K62+'9b-Vloeronderhoud'!R62</f>
        <v>#DIV/0!</v>
      </c>
      <c r="J29" s="53"/>
      <c r="K29" s="53"/>
      <c r="L29" s="53"/>
    </row>
    <row r="30" spans="1:15" ht="15">
      <c r="A30" s="74"/>
      <c r="B30" s="74"/>
      <c r="C30" s="74"/>
      <c r="D30" s="74"/>
      <c r="E30" s="74"/>
      <c r="F30" s="74"/>
      <c r="G30" s="74"/>
      <c r="H30" s="74"/>
      <c r="J30" s="53"/>
      <c r="K30" s="53"/>
      <c r="L30" s="53"/>
    </row>
    <row r="31" spans="1:15" ht="15">
      <c r="A31" s="89" t="str">
        <f ca="1">'10-Glasbewassing'!B4</f>
        <v>10-Glasbewassing</v>
      </c>
      <c r="B31" s="74"/>
      <c r="C31" s="74"/>
      <c r="D31" s="74"/>
      <c r="E31" s="74"/>
      <c r="F31" s="74"/>
      <c r="G31" s="74"/>
      <c r="H31" s="75">
        <f>'10-Glasbewassing'!G166</f>
        <v>0</v>
      </c>
      <c r="J31" s="53"/>
      <c r="K31" s="53"/>
      <c r="L31" s="53"/>
    </row>
    <row r="32" spans="1:15" s="74" customFormat="1" ht="15">
      <c r="J32" s="53"/>
      <c r="K32" s="53"/>
      <c r="L32" s="53"/>
      <c r="M32" s="50"/>
      <c r="N32" s="50"/>
    </row>
    <row r="33" spans="1:12" ht="15">
      <c r="A33" s="99" t="s">
        <v>133</v>
      </c>
      <c r="H33" s="76" t="e">
        <f>SUM(H26:H32)</f>
        <v>#DIV/0!</v>
      </c>
      <c r="J33" s="724"/>
      <c r="K33" s="53"/>
      <c r="L33" s="53"/>
    </row>
    <row r="34" spans="1:12" ht="15">
      <c r="A34" s="71" t="s">
        <v>10</v>
      </c>
      <c r="G34" s="72">
        <v>0.21</v>
      </c>
      <c r="H34" s="73" t="e">
        <f>G34*H33</f>
        <v>#DIV/0!</v>
      </c>
      <c r="J34" s="53"/>
      <c r="K34" s="53"/>
      <c r="L34" s="53"/>
    </row>
    <row r="35" spans="1:12" ht="15">
      <c r="A35" s="71" t="s">
        <v>27</v>
      </c>
      <c r="H35" s="76" t="e">
        <f>H33+H34</f>
        <v>#DIV/0!</v>
      </c>
      <c r="J35" s="53"/>
      <c r="K35" s="53"/>
      <c r="L35" s="53"/>
    </row>
    <row r="36" spans="1:12" ht="15">
      <c r="J36" s="53"/>
      <c r="K36" s="53"/>
    </row>
    <row r="37" spans="1:12" ht="15">
      <c r="A37" s="101" t="s">
        <v>134</v>
      </c>
      <c r="B37" s="67"/>
      <c r="C37" s="67"/>
      <c r="D37" s="67"/>
      <c r="E37" s="102"/>
      <c r="F37" s="102" t="s">
        <v>136</v>
      </c>
      <c r="G37" s="102"/>
      <c r="H37" s="103" t="e">
        <f>H33+H21+H44</f>
        <v>#DIV/0!</v>
      </c>
      <c r="J37" s="53"/>
      <c r="K37" s="53"/>
    </row>
    <row r="38" spans="1:12" ht="15">
      <c r="A38" s="71" t="s">
        <v>10</v>
      </c>
      <c r="G38" s="72">
        <v>0.21</v>
      </c>
      <c r="H38" s="73" t="e">
        <f>G38*H37</f>
        <v>#DIV/0!</v>
      </c>
      <c r="J38" s="53"/>
      <c r="K38" s="53"/>
    </row>
    <row r="39" spans="1:12" ht="15">
      <c r="A39" s="71" t="s">
        <v>27</v>
      </c>
      <c r="H39" s="76" t="e">
        <f>H37+H38</f>
        <v>#DIV/0!</v>
      </c>
      <c r="J39" s="53"/>
      <c r="K39" s="53"/>
    </row>
    <row r="40" spans="1:12" ht="15">
      <c r="J40" s="53"/>
      <c r="K40" s="53"/>
    </row>
    <row r="41" spans="1:12" ht="15">
      <c r="A41" s="77" t="s">
        <v>207</v>
      </c>
      <c r="B41" s="78"/>
      <c r="C41" s="78"/>
      <c r="D41" s="78"/>
      <c r="E41" s="79"/>
      <c r="F41" s="78"/>
      <c r="G41" s="78"/>
      <c r="H41" s="80">
        <v>610000</v>
      </c>
      <c r="J41" s="53"/>
      <c r="K41" s="53"/>
    </row>
    <row r="42" spans="1:12" ht="15">
      <c r="A42" s="77" t="s">
        <v>202</v>
      </c>
      <c r="B42" s="78"/>
      <c r="C42" s="78"/>
      <c r="D42" s="78"/>
      <c r="E42" s="79"/>
      <c r="F42" s="78"/>
      <c r="G42" s="78"/>
      <c r="H42" s="80">
        <v>550000</v>
      </c>
      <c r="J42" s="53"/>
      <c r="K42" s="53"/>
    </row>
    <row r="43" spans="1:12" ht="15">
      <c r="J43" s="53"/>
      <c r="K43" s="53"/>
    </row>
    <row r="44" spans="1:12" ht="15">
      <c r="A44" s="99" t="s">
        <v>211</v>
      </c>
      <c r="H44" s="411">
        <v>0</v>
      </c>
      <c r="J44" s="53"/>
      <c r="K44" s="53"/>
    </row>
    <row r="45" spans="1:12" ht="15">
      <c r="J45" s="53"/>
      <c r="K45" s="53"/>
    </row>
    <row r="46" spans="1:12" ht="13.2" customHeight="1">
      <c r="A46" s="748" t="s">
        <v>203</v>
      </c>
      <c r="B46" s="749"/>
      <c r="C46" s="749"/>
      <c r="D46" s="749"/>
      <c r="E46" s="749"/>
      <c r="F46" s="749"/>
      <c r="G46" s="749"/>
      <c r="H46" s="750"/>
      <c r="J46" s="53"/>
      <c r="K46" s="53"/>
    </row>
    <row r="47" spans="1:12">
      <c r="A47" s="751"/>
      <c r="B47" s="752"/>
      <c r="C47" s="752"/>
      <c r="D47" s="752"/>
      <c r="E47" s="752"/>
      <c r="F47" s="752"/>
      <c r="G47" s="752"/>
      <c r="H47" s="753"/>
    </row>
    <row r="48" spans="1:12">
      <c r="A48" s="754"/>
      <c r="B48" s="755"/>
      <c r="C48" s="755"/>
      <c r="D48" s="755"/>
      <c r="E48" s="755"/>
      <c r="F48" s="755"/>
      <c r="G48" s="755"/>
      <c r="H48" s="756"/>
    </row>
    <row r="50" spans="1:8">
      <c r="A50" s="748" t="s">
        <v>212</v>
      </c>
      <c r="B50" s="749"/>
      <c r="C50" s="749"/>
      <c r="D50" s="749"/>
      <c r="E50" s="749"/>
      <c r="F50" s="749"/>
      <c r="G50" s="749"/>
      <c r="H50" s="750"/>
    </row>
    <row r="51" spans="1:8">
      <c r="A51" s="751"/>
      <c r="B51" s="752"/>
      <c r="C51" s="752"/>
      <c r="D51" s="752"/>
      <c r="E51" s="752"/>
      <c r="F51" s="752"/>
      <c r="G51" s="752"/>
      <c r="H51" s="753"/>
    </row>
    <row r="52" spans="1:8">
      <c r="A52" s="754"/>
      <c r="B52" s="755"/>
      <c r="C52" s="755"/>
      <c r="D52" s="755"/>
      <c r="E52" s="755"/>
      <c r="F52" s="755"/>
      <c r="G52" s="755"/>
      <c r="H52" s="756"/>
    </row>
  </sheetData>
  <mergeCells count="3">
    <mergeCell ref="B8:D8"/>
    <mergeCell ref="A46:H48"/>
    <mergeCell ref="A50:H52"/>
  </mergeCells>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Y57"/>
  <sheetViews>
    <sheetView showGridLines="0" showZeros="0" zoomScale="98" zoomScaleNormal="98" workbookViewId="0">
      <pane xSplit="1" ySplit="10" topLeftCell="B11" activePane="bottomRight" state="frozen"/>
      <selection pane="topRight" activeCell="B1" sqref="B1"/>
      <selection pane="bottomLeft" activeCell="A11" sqref="A11"/>
      <selection pane="bottomRight" activeCell="A23" sqref="A23"/>
    </sheetView>
  </sheetViews>
  <sheetFormatPr defaultColWidth="8.6640625" defaultRowHeight="14.1" customHeight="1"/>
  <cols>
    <col min="1" max="1" width="43.109375" style="104" customWidth="1"/>
    <col min="2" max="2" width="21.33203125" style="104" customWidth="1"/>
    <col min="3" max="3" width="7.33203125" style="104" customWidth="1"/>
    <col min="4" max="4" width="22.44140625" style="104" customWidth="1"/>
    <col min="5" max="5" width="12.109375" style="104" customWidth="1"/>
    <col min="6" max="6" width="15.33203125" style="111" customWidth="1"/>
    <col min="7" max="7" width="13.6640625" style="111" customWidth="1"/>
    <col min="8" max="8" width="15.33203125" style="111" customWidth="1"/>
    <col min="9" max="9" width="13.6640625" style="111" customWidth="1"/>
    <col min="10" max="10" width="1.6640625" style="111" customWidth="1"/>
    <col min="11" max="11" width="16.77734375" style="111" customWidth="1"/>
    <col min="12" max="12" width="14.44140625" style="111" customWidth="1"/>
    <col min="13" max="13" width="13.33203125" style="111" customWidth="1"/>
    <col min="14" max="18" width="13.5546875" style="104" customWidth="1"/>
    <col min="19" max="19" width="14.88671875" style="104" customWidth="1"/>
    <col min="20" max="20" width="15.109375" style="104" customWidth="1"/>
    <col min="21" max="21" width="15.33203125" style="104" customWidth="1"/>
    <col min="22" max="22" width="13" style="104" customWidth="1"/>
    <col min="23" max="23" width="2.21875" style="104" customWidth="1"/>
    <col min="24" max="24" width="15.33203125" style="104" customWidth="1"/>
    <col min="25" max="25" width="13" style="104" customWidth="1"/>
    <col min="26" max="16384" width="8.6640625" style="104"/>
  </cols>
  <sheetData>
    <row r="1" spans="1:25" ht="14.1" customHeight="1">
      <c r="A1" s="407" t="s">
        <v>26</v>
      </c>
    </row>
    <row r="3" spans="1:25" ht="14.1" customHeight="1">
      <c r="A3" s="113" t="str">
        <f>'1-Contractblad totaal'!A3</f>
        <v>Naam opdrachtgever</v>
      </c>
      <c r="B3" s="140" t="str">
        <f>'1-Contractblad totaal'!B3</f>
        <v>Elevantio</v>
      </c>
      <c r="C3" s="140"/>
      <c r="E3" s="140"/>
      <c r="F3" s="105"/>
      <c r="G3" s="105"/>
      <c r="H3" s="105"/>
      <c r="I3" s="105"/>
      <c r="J3" s="105"/>
      <c r="K3" s="105"/>
      <c r="L3" s="105"/>
      <c r="M3" s="105"/>
    </row>
    <row r="4" spans="1:25" ht="14.1" customHeight="1">
      <c r="A4" s="113" t="str">
        <f>'1-Contractblad totaal'!A4</f>
        <v>Calculatie onderdeel</v>
      </c>
      <c r="B4" s="140" t="str">
        <f ca="1">MID(CELL("bestandsnaam",$D$9),SEARCH("]",CELL("bestandsnaam",$D$9),1)+1,256)</f>
        <v>2-Kosten per locatie</v>
      </c>
      <c r="C4" s="140"/>
      <c r="E4" s="140"/>
      <c r="F4" s="105"/>
      <c r="G4" s="105"/>
      <c r="H4" s="105"/>
      <c r="I4" s="105"/>
      <c r="J4" s="105"/>
      <c r="K4" s="105"/>
      <c r="L4" s="105"/>
      <c r="M4" s="105"/>
    </row>
    <row r="5" spans="1:25" ht="14.1" customHeight="1">
      <c r="A5" s="113" t="str">
        <f>'1-Contractblad totaal'!A5</f>
        <v>Gebouw/plaats</v>
      </c>
      <c r="B5" s="140" t="str">
        <f>'1-Contractblad totaal'!B5</f>
        <v>Markt 1, Axel</v>
      </c>
      <c r="C5" s="140"/>
      <c r="E5" s="140"/>
      <c r="F5" s="105"/>
      <c r="G5" s="105"/>
      <c r="J5" s="105"/>
      <c r="K5" s="105"/>
      <c r="L5" s="105"/>
      <c r="M5" s="105"/>
    </row>
    <row r="6" spans="1:25" ht="14.1" customHeight="1">
      <c r="A6" s="113" t="str">
        <f>'1-Contractblad totaal'!A6</f>
        <v>Referentie nummer</v>
      </c>
      <c r="B6" s="140" t="str">
        <f>'1-Contractblad totaal'!B6</f>
        <v>Elevantio-EA-LK-RT-2022</v>
      </c>
      <c r="C6" s="140"/>
      <c r="E6" s="140"/>
      <c r="F6" s="105"/>
      <c r="G6" s="105"/>
      <c r="J6" s="105"/>
      <c r="K6" s="105"/>
      <c r="L6" s="105"/>
      <c r="M6" s="105"/>
      <c r="U6" s="640"/>
      <c r="X6" s="640"/>
    </row>
    <row r="7" spans="1:25" ht="14.1" customHeight="1">
      <c r="A7" s="113" t="str">
        <f>'1-Contractblad totaal'!A8</f>
        <v>Naam dienstverlener</v>
      </c>
      <c r="B7" s="113">
        <f>'1-Contractblad totaal'!B8</f>
        <v>0</v>
      </c>
      <c r="C7" s="113"/>
      <c r="E7" s="113"/>
      <c r="F7" s="105"/>
      <c r="G7" s="757" t="s">
        <v>876</v>
      </c>
      <c r="H7" s="758"/>
      <c r="I7" s="105"/>
      <c r="J7" s="105"/>
      <c r="K7" s="105"/>
      <c r="L7" s="105"/>
      <c r="M7" s="105"/>
    </row>
    <row r="8" spans="1:25" ht="14.1" customHeight="1">
      <c r="A8" s="113" t="str">
        <f>'1-Contractblad totaal'!A9</f>
        <v>Prijspeil</v>
      </c>
      <c r="B8" s="114">
        <f>'1-Contractblad totaal'!B9</f>
        <v>44652</v>
      </c>
      <c r="C8" s="114"/>
      <c r="E8" s="114"/>
      <c r="G8" s="507">
        <v>0</v>
      </c>
      <c r="H8" s="508" t="s">
        <v>877</v>
      </c>
      <c r="K8" s="105"/>
      <c r="L8" s="105"/>
      <c r="M8" s="105"/>
    </row>
    <row r="9" spans="1:25" ht="14.1" customHeight="1">
      <c r="A9" s="107"/>
      <c r="B9" s="107"/>
      <c r="C9" s="107"/>
      <c r="D9" s="107"/>
      <c r="E9" s="107"/>
      <c r="F9" s="105"/>
      <c r="G9" s="105"/>
      <c r="H9" s="105"/>
      <c r="I9" s="105"/>
      <c r="J9" s="105"/>
      <c r="K9" s="105"/>
      <c r="L9" s="105"/>
      <c r="M9" s="105"/>
    </row>
    <row r="10" spans="1:25" ht="64.5" customHeight="1">
      <c r="A10" s="461" t="s">
        <v>103</v>
      </c>
      <c r="B10" s="461" t="s">
        <v>884</v>
      </c>
      <c r="C10" s="461" t="s">
        <v>883</v>
      </c>
      <c r="D10" s="462" t="s">
        <v>169</v>
      </c>
      <c r="E10" s="462" t="s">
        <v>878</v>
      </c>
      <c r="F10" s="463" t="s">
        <v>875</v>
      </c>
      <c r="G10" s="463" t="s">
        <v>204</v>
      </c>
      <c r="H10" s="463" t="s">
        <v>192</v>
      </c>
      <c r="I10" s="463" t="s">
        <v>170</v>
      </c>
      <c r="J10" s="105"/>
      <c r="K10" s="112" t="s">
        <v>193</v>
      </c>
      <c r="L10" s="112" t="s">
        <v>196</v>
      </c>
      <c r="M10" s="112" t="s">
        <v>194</v>
      </c>
      <c r="N10" s="112" t="s">
        <v>195</v>
      </c>
      <c r="O10" s="157" t="s">
        <v>962</v>
      </c>
      <c r="P10" s="157" t="s">
        <v>963</v>
      </c>
      <c r="Q10" s="157" t="s">
        <v>964</v>
      </c>
      <c r="R10" s="157" t="s">
        <v>979</v>
      </c>
      <c r="S10" s="112" t="s">
        <v>171</v>
      </c>
      <c r="T10" s="112" t="s">
        <v>172</v>
      </c>
      <c r="U10" s="112" t="s">
        <v>1124</v>
      </c>
      <c r="V10" s="112" t="s">
        <v>173</v>
      </c>
      <c r="X10" s="112" t="s">
        <v>1056</v>
      </c>
      <c r="Y10" s="112" t="s">
        <v>1118</v>
      </c>
    </row>
    <row r="11" spans="1:25" ht="15" customHeight="1">
      <c r="A11" s="517" t="s">
        <v>255</v>
      </c>
      <c r="B11" s="108" t="s">
        <v>909</v>
      </c>
      <c r="C11" s="160" t="s">
        <v>910</v>
      </c>
      <c r="D11" s="434">
        <f>SUMIF('4-Basis ruimtestaat'!B:B,A11,'4-Basis ruimtestaat'!J:J)</f>
        <v>923.30000042915344</v>
      </c>
      <c r="E11" s="434" cm="1">
        <f t="array" ref="E11">MAX(IF('4-Basis ruimtestaat'!B:B=A11,'4-Basis ruimtestaat'!S:S))</f>
        <v>190</v>
      </c>
      <c r="F11" s="434" t="e">
        <f>SUMIF('4-Basis ruimtestaat'!B:B,A11,'4-Basis ruimtestaat'!T:T)</f>
        <v>#DIV/0!</v>
      </c>
      <c r="G11" s="435" t="e">
        <f>IF(F11&lt;E11*$G$8,E11*$G$8-F11,0)</f>
        <v>#DIV/0!</v>
      </c>
      <c r="H11" s="464"/>
      <c r="I11" s="435" t="e">
        <f t="shared" ref="I11:I55" si="0">H11*F11</f>
        <v>#DIV/0!</v>
      </c>
      <c r="J11" s="105"/>
      <c r="K11" s="437" t="e">
        <f>F11*'6-Opbouw uurtarief productie'!$E$47</f>
        <v>#DIV/0!</v>
      </c>
      <c r="L11" s="437" t="e">
        <f>G11*'6-Opbouw uurtarief productie'!$E$47</f>
        <v>#DIV/0!</v>
      </c>
      <c r="M11" s="437" t="e">
        <f t="shared" ref="M11:M55" si="1">K11+L11</f>
        <v>#DIV/0!</v>
      </c>
      <c r="N11" s="437" t="e">
        <f>I11*'7-Opbouw uurtarief toezicht'!$E$47</f>
        <v>#DIV/0!</v>
      </c>
      <c r="O11" s="437" t="e">
        <f>VLOOKUP(A11,'9b-Vloeronderhoud'!$A$14:$K$60,4,FALSE)</f>
        <v>#DIV/0!</v>
      </c>
      <c r="P11" s="437" t="e">
        <f>VLOOKUP(A11,'9b-Vloeronderhoud'!$A$14:$K$60,8,FALSE)</f>
        <v>#DIV/0!</v>
      </c>
      <c r="Q11" s="437" t="e">
        <f>VLOOKUP(A11,'9b-Vloeronderhoud'!$A$14:$K$60,11,FALSE)</f>
        <v>#DIV/0!</v>
      </c>
      <c r="R11" s="437" t="e">
        <f>VLOOKUP(A11,'9b-Vloeronderhoud'!$A$14:$R$60,18,FALSE)</f>
        <v>#DIV/0!</v>
      </c>
      <c r="S11" s="489">
        <f>SUMIF('8-Additionele werkzaamheden'!A:A,A11,'8-Additionele werkzaamheden'!G:G)</f>
        <v>0</v>
      </c>
      <c r="T11" s="489">
        <f>SUMIF('10-Glasbewassing'!A:A,A11,'10-Glasbewassing'!G:G)</f>
        <v>0</v>
      </c>
      <c r="U11" s="437" t="e">
        <f t="shared" ref="U11:U55" si="2">SUM(M11:T11)</f>
        <v>#DIV/0!</v>
      </c>
      <c r="V11" s="437" t="e">
        <f t="shared" ref="V11:V55" si="3">U11/12</f>
        <v>#DIV/0!</v>
      </c>
      <c r="X11" s="641" t="e">
        <f t="shared" ref="X11:X56" si="4">U11*1.21</f>
        <v>#DIV/0!</v>
      </c>
      <c r="Y11" s="437" t="e">
        <f t="shared" ref="Y11:Y56" si="5">X11/12</f>
        <v>#DIV/0!</v>
      </c>
    </row>
    <row r="12" spans="1:25" ht="15" customHeight="1">
      <c r="A12" s="517" t="s">
        <v>246</v>
      </c>
      <c r="B12" s="160" t="s">
        <v>902</v>
      </c>
      <c r="C12" s="160" t="s">
        <v>903</v>
      </c>
      <c r="D12" s="434">
        <f>SUMIF('4-Basis ruimtestaat'!B:B,A12,'4-Basis ruimtestaat'!J:J)</f>
        <v>836.25000000000023</v>
      </c>
      <c r="E12" s="434" cm="1">
        <f t="array" ref="E12">MAX(IF('4-Basis ruimtestaat'!B:B=A12,'4-Basis ruimtestaat'!S:S))</f>
        <v>190</v>
      </c>
      <c r="F12" s="434" t="e">
        <f>SUMIF('4-Basis ruimtestaat'!B:B,A12,'4-Basis ruimtestaat'!T:T)</f>
        <v>#DIV/0!</v>
      </c>
      <c r="G12" s="435" t="e">
        <f>IF(F12&lt;E12*$G$8,E12*$G$8-F12,0)</f>
        <v>#DIV/0!</v>
      </c>
      <c r="H12" s="464"/>
      <c r="I12" s="435" t="e">
        <f t="shared" si="0"/>
        <v>#DIV/0!</v>
      </c>
      <c r="J12" s="105"/>
      <c r="K12" s="437" t="e">
        <f>F12*'6-Opbouw uurtarief productie'!$E$47</f>
        <v>#DIV/0!</v>
      </c>
      <c r="L12" s="437" t="e">
        <f>G12*'6-Opbouw uurtarief productie'!$E$47</f>
        <v>#DIV/0!</v>
      </c>
      <c r="M12" s="437" t="e">
        <f t="shared" si="1"/>
        <v>#DIV/0!</v>
      </c>
      <c r="N12" s="437" t="e">
        <f>I12*'7-Opbouw uurtarief toezicht'!$E$47</f>
        <v>#DIV/0!</v>
      </c>
      <c r="O12" s="437" t="e">
        <f>VLOOKUP(A12,'9b-Vloeronderhoud'!$A$14:$K$60,4,FALSE)</f>
        <v>#DIV/0!</v>
      </c>
      <c r="P12" s="437" t="e">
        <f>VLOOKUP(A12,'9b-Vloeronderhoud'!$A$14:$K$60,8,FALSE)</f>
        <v>#DIV/0!</v>
      </c>
      <c r="Q12" s="437" t="e">
        <f>VLOOKUP(A12,'9b-Vloeronderhoud'!$A$14:$K$60,11,FALSE)</f>
        <v>#DIV/0!</v>
      </c>
      <c r="R12" s="437" t="e">
        <f>VLOOKUP(A12,'9b-Vloeronderhoud'!$A$14:$R$60,18,FALSE)</f>
        <v>#DIV/0!</v>
      </c>
      <c r="S12" s="489">
        <f>SUMIF('8-Additionele werkzaamheden'!A:A,A12,'8-Additionele werkzaamheden'!G:G)</f>
        <v>0</v>
      </c>
      <c r="T12" s="489">
        <f>SUMIF('10-Glasbewassing'!A:A,A12,'10-Glasbewassing'!G:G)</f>
        <v>0</v>
      </c>
      <c r="U12" s="437" t="e">
        <f t="shared" si="2"/>
        <v>#DIV/0!</v>
      </c>
      <c r="V12" s="437" t="e">
        <f t="shared" si="3"/>
        <v>#DIV/0!</v>
      </c>
      <c r="X12" s="641" t="e">
        <f t="shared" si="4"/>
        <v>#DIV/0!</v>
      </c>
      <c r="Y12" s="437" t="e">
        <f t="shared" si="5"/>
        <v>#DIV/0!</v>
      </c>
    </row>
    <row r="13" spans="1:25" ht="15" customHeight="1">
      <c r="A13" s="517" t="s">
        <v>236</v>
      </c>
      <c r="B13" s="160" t="s">
        <v>894</v>
      </c>
      <c r="C13" s="160" t="s">
        <v>923</v>
      </c>
      <c r="D13" s="434">
        <f>SUMIF('4-Basis ruimtestaat'!B:B,A13,'4-Basis ruimtestaat'!J:J)</f>
        <v>911.16000986099243</v>
      </c>
      <c r="E13" s="434" cm="1">
        <f t="array" ref="E13">MAX(IF('4-Basis ruimtestaat'!B:B=A13,'4-Basis ruimtestaat'!S:S))</f>
        <v>190</v>
      </c>
      <c r="F13" s="434" t="e">
        <f>SUMIF('4-Basis ruimtestaat'!B:B,A13,'4-Basis ruimtestaat'!T:T)</f>
        <v>#DIV/0!</v>
      </c>
      <c r="G13" s="435" t="e">
        <f>IF(F13&lt;E13*$G$8,E13*$G$8-F13,0)</f>
        <v>#DIV/0!</v>
      </c>
      <c r="H13" s="464"/>
      <c r="I13" s="435" t="e">
        <f t="shared" si="0"/>
        <v>#DIV/0!</v>
      </c>
      <c r="J13" s="105"/>
      <c r="K13" s="437" t="e">
        <f>F13*'6-Opbouw uurtarief productie'!$E$47</f>
        <v>#DIV/0!</v>
      </c>
      <c r="L13" s="437" t="e">
        <f>G13*'6-Opbouw uurtarief productie'!$E$47</f>
        <v>#DIV/0!</v>
      </c>
      <c r="M13" s="437" t="e">
        <f t="shared" si="1"/>
        <v>#DIV/0!</v>
      </c>
      <c r="N13" s="437" t="e">
        <f>I13*'7-Opbouw uurtarief toezicht'!$E$47</f>
        <v>#DIV/0!</v>
      </c>
      <c r="O13" s="437" t="e">
        <f>VLOOKUP(A13,'9b-Vloeronderhoud'!$A$14:$K$60,4,FALSE)</f>
        <v>#DIV/0!</v>
      </c>
      <c r="P13" s="437" t="e">
        <f>VLOOKUP(A13,'9b-Vloeronderhoud'!$A$14:$K$60,8,FALSE)</f>
        <v>#DIV/0!</v>
      </c>
      <c r="Q13" s="437" t="e">
        <f>VLOOKUP(A13,'9b-Vloeronderhoud'!$A$14:$K$60,11,FALSE)</f>
        <v>#DIV/0!</v>
      </c>
      <c r="R13" s="437" t="e">
        <f>VLOOKUP(A13,'9b-Vloeronderhoud'!$A$14:$R$60,18,FALSE)</f>
        <v>#DIV/0!</v>
      </c>
      <c r="S13" s="489">
        <f>SUMIF('8-Additionele werkzaamheden'!A:A,A13,'8-Additionele werkzaamheden'!G:G)</f>
        <v>0</v>
      </c>
      <c r="T13" s="489">
        <f>SUMIF('10-Glasbewassing'!A:A,A13,'10-Glasbewassing'!G:G)</f>
        <v>0</v>
      </c>
      <c r="U13" s="437" t="e">
        <f t="shared" si="2"/>
        <v>#DIV/0!</v>
      </c>
      <c r="V13" s="437" t="e">
        <f t="shared" si="3"/>
        <v>#DIV/0!</v>
      </c>
      <c r="X13" s="641" t="e">
        <f t="shared" si="4"/>
        <v>#DIV/0!</v>
      </c>
      <c r="Y13" s="437" t="e">
        <f t="shared" si="5"/>
        <v>#DIV/0!</v>
      </c>
    </row>
    <row r="14" spans="1:25" ht="15" customHeight="1">
      <c r="A14" s="517" t="s">
        <v>233</v>
      </c>
      <c r="B14" s="160" t="s">
        <v>894</v>
      </c>
      <c r="C14" s="160" t="s">
        <v>893</v>
      </c>
      <c r="D14" s="434">
        <f>SUMIF('4-Basis ruimtestaat'!B:B,A14,'4-Basis ruimtestaat'!J:J)</f>
        <v>1172.1999975204467</v>
      </c>
      <c r="E14" s="434" cm="1">
        <f t="array" ref="E14">MAX(IF('4-Basis ruimtestaat'!B:B=A14,'4-Basis ruimtestaat'!S:S))</f>
        <v>190</v>
      </c>
      <c r="F14" s="434" t="e">
        <f>SUMIF('4-Basis ruimtestaat'!B:B,A14,'4-Basis ruimtestaat'!T:T)</f>
        <v>#DIV/0!</v>
      </c>
      <c r="G14" s="435" t="e">
        <f>IF(F14&lt;E14*$G$8,E14*$G$8-F14,0)</f>
        <v>#DIV/0!</v>
      </c>
      <c r="H14" s="464"/>
      <c r="I14" s="435" t="e">
        <f t="shared" si="0"/>
        <v>#DIV/0!</v>
      </c>
      <c r="J14" s="105"/>
      <c r="K14" s="437" t="e">
        <f>F14*'6-Opbouw uurtarief productie'!$E$47</f>
        <v>#DIV/0!</v>
      </c>
      <c r="L14" s="437" t="e">
        <f>G14*'6-Opbouw uurtarief productie'!$E$47</f>
        <v>#DIV/0!</v>
      </c>
      <c r="M14" s="437" t="e">
        <f t="shared" si="1"/>
        <v>#DIV/0!</v>
      </c>
      <c r="N14" s="437" t="e">
        <f>I14*'7-Opbouw uurtarief toezicht'!$E$47</f>
        <v>#DIV/0!</v>
      </c>
      <c r="O14" s="437" t="e">
        <f>VLOOKUP(A14,'9b-Vloeronderhoud'!$A$14:$K$60,4,FALSE)</f>
        <v>#DIV/0!</v>
      </c>
      <c r="P14" s="437" t="e">
        <f>VLOOKUP(A14,'9b-Vloeronderhoud'!$A$14:$K$60,8,FALSE)</f>
        <v>#DIV/0!</v>
      </c>
      <c r="Q14" s="437" t="e">
        <f>VLOOKUP(A14,'9b-Vloeronderhoud'!$A$14:$K$60,11,FALSE)</f>
        <v>#DIV/0!</v>
      </c>
      <c r="R14" s="437" t="e">
        <f>VLOOKUP(A14,'9b-Vloeronderhoud'!$A$14:$R$60,18,FALSE)</f>
        <v>#DIV/0!</v>
      </c>
      <c r="S14" s="489">
        <f>SUMIF('8-Additionele werkzaamheden'!A:A,A14,'8-Additionele werkzaamheden'!G:G)</f>
        <v>0</v>
      </c>
      <c r="T14" s="489">
        <f>SUMIF('10-Glasbewassing'!A:A,A14,'10-Glasbewassing'!G:G)</f>
        <v>0</v>
      </c>
      <c r="U14" s="437" t="e">
        <f t="shared" si="2"/>
        <v>#DIV/0!</v>
      </c>
      <c r="V14" s="437" t="e">
        <f t="shared" si="3"/>
        <v>#DIV/0!</v>
      </c>
      <c r="X14" s="641" t="e">
        <f t="shared" si="4"/>
        <v>#DIV/0!</v>
      </c>
      <c r="Y14" s="437" t="e">
        <f t="shared" si="5"/>
        <v>#DIV/0!</v>
      </c>
    </row>
    <row r="15" spans="1:25" ht="15" customHeight="1">
      <c r="A15" s="517" t="s">
        <v>277</v>
      </c>
      <c r="B15" s="160" t="s">
        <v>894</v>
      </c>
      <c r="C15" s="160" t="s">
        <v>893</v>
      </c>
      <c r="D15" s="434">
        <f>SUMIF('4-Basis ruimtestaat'!B:B,A15,'4-Basis ruimtestaat'!J:J)</f>
        <v>253.10000000000002</v>
      </c>
      <c r="E15" s="434" cm="1">
        <f t="array" ref="E15">MAX(IF('4-Basis ruimtestaat'!B:B=A15,'4-Basis ruimtestaat'!S:S))</f>
        <v>80</v>
      </c>
      <c r="F15" s="434" t="e">
        <f>SUMIF('4-Basis ruimtestaat'!B:B,A15,'4-Basis ruimtestaat'!T:T)</f>
        <v>#DIV/0!</v>
      </c>
      <c r="G15" s="670"/>
      <c r="H15" s="464"/>
      <c r="I15" s="435" t="e">
        <f t="shared" si="0"/>
        <v>#DIV/0!</v>
      </c>
      <c r="J15" s="105"/>
      <c r="K15" s="437" t="e">
        <f>F15*'6-Opbouw uurtarief productie'!$E$47</f>
        <v>#DIV/0!</v>
      </c>
      <c r="L15" s="437" t="e">
        <f>G15*'6-Opbouw uurtarief productie'!$E$47</f>
        <v>#DIV/0!</v>
      </c>
      <c r="M15" s="437" t="e">
        <f t="shared" si="1"/>
        <v>#DIV/0!</v>
      </c>
      <c r="N15" s="437" t="e">
        <f>I15*'7-Opbouw uurtarief toezicht'!$E$47</f>
        <v>#DIV/0!</v>
      </c>
      <c r="O15" s="437" t="e">
        <f>VLOOKUP(A15,'9b-Vloeronderhoud'!$A$14:$K$60,4,FALSE)</f>
        <v>#DIV/0!</v>
      </c>
      <c r="P15" s="437" t="e">
        <f>VLOOKUP(A15,'9b-Vloeronderhoud'!$A$14:$K$60,8,FALSE)</f>
        <v>#DIV/0!</v>
      </c>
      <c r="Q15" s="437" t="e">
        <f>VLOOKUP(A15,'9b-Vloeronderhoud'!$A$14:$K$60,11,FALSE)</f>
        <v>#DIV/0!</v>
      </c>
      <c r="R15" s="437" t="e">
        <f>VLOOKUP(A15,'9b-Vloeronderhoud'!$A$14:$R$60,18,FALSE)</f>
        <v>#DIV/0!</v>
      </c>
      <c r="S15" s="489">
        <f>SUMIF('8-Additionele werkzaamheden'!A:A,A15,'8-Additionele werkzaamheden'!G:G)</f>
        <v>0</v>
      </c>
      <c r="T15" s="489">
        <f>SUMIF('10-Glasbewassing'!A:A,A15,'10-Glasbewassing'!G:G)</f>
        <v>0</v>
      </c>
      <c r="U15" s="437" t="e">
        <f t="shared" si="2"/>
        <v>#DIV/0!</v>
      </c>
      <c r="V15" s="437" t="e">
        <f t="shared" si="3"/>
        <v>#DIV/0!</v>
      </c>
      <c r="X15" s="641" t="e">
        <f t="shared" si="4"/>
        <v>#DIV/0!</v>
      </c>
      <c r="Y15" s="437" t="e">
        <f t="shared" si="5"/>
        <v>#DIV/0!</v>
      </c>
    </row>
    <row r="16" spans="1:25" ht="15" customHeight="1">
      <c r="A16" s="517" t="s">
        <v>243</v>
      </c>
      <c r="B16" s="160" t="s">
        <v>902</v>
      </c>
      <c r="C16" s="160" t="s">
        <v>904</v>
      </c>
      <c r="D16" s="434">
        <f>SUMIF('4-Basis ruimtestaat'!B:B,A16,'4-Basis ruimtestaat'!J:J)</f>
        <v>850.49999952316284</v>
      </c>
      <c r="E16" s="434" cm="1">
        <f t="array" ref="E16">MAX(IF('4-Basis ruimtestaat'!B:B=A16,'4-Basis ruimtestaat'!S:S))</f>
        <v>190</v>
      </c>
      <c r="F16" s="434" t="e">
        <f>SUMIF('4-Basis ruimtestaat'!B:B,A16,'4-Basis ruimtestaat'!T:T)</f>
        <v>#DIV/0!</v>
      </c>
      <c r="G16" s="435" t="e">
        <f t="shared" ref="G16:G27" si="6">IF(F16&lt;E16*$G$8,E16*$G$8-F16,0)</f>
        <v>#DIV/0!</v>
      </c>
      <c r="H16" s="464"/>
      <c r="I16" s="435" t="e">
        <f t="shared" si="0"/>
        <v>#DIV/0!</v>
      </c>
      <c r="J16" s="105"/>
      <c r="K16" s="437" t="e">
        <f>F16*'6-Opbouw uurtarief productie'!$E$47</f>
        <v>#DIV/0!</v>
      </c>
      <c r="L16" s="437" t="e">
        <f>G16*'6-Opbouw uurtarief productie'!$E$47</f>
        <v>#DIV/0!</v>
      </c>
      <c r="M16" s="437" t="e">
        <f t="shared" si="1"/>
        <v>#DIV/0!</v>
      </c>
      <c r="N16" s="437" t="e">
        <f>I16*'7-Opbouw uurtarief toezicht'!$E$47</f>
        <v>#DIV/0!</v>
      </c>
      <c r="O16" s="437" t="e">
        <f>VLOOKUP(A16,'9b-Vloeronderhoud'!$A$14:$K$60,4,FALSE)</f>
        <v>#DIV/0!</v>
      </c>
      <c r="P16" s="437" t="e">
        <f>VLOOKUP(A16,'9b-Vloeronderhoud'!$A$14:$K$60,8,FALSE)</f>
        <v>#DIV/0!</v>
      </c>
      <c r="Q16" s="437" t="e">
        <f>VLOOKUP(A16,'9b-Vloeronderhoud'!$A$14:$K$60,11,FALSE)</f>
        <v>#DIV/0!</v>
      </c>
      <c r="R16" s="437" t="e">
        <f>VLOOKUP(A16,'9b-Vloeronderhoud'!$A$14:$R$60,18,FALSE)</f>
        <v>#DIV/0!</v>
      </c>
      <c r="S16" s="489">
        <f>SUMIF('8-Additionele werkzaamheden'!A:A,A16,'8-Additionele werkzaamheden'!G:G)</f>
        <v>0</v>
      </c>
      <c r="T16" s="489">
        <f>SUMIF('10-Glasbewassing'!A:A,A16,'10-Glasbewassing'!G:G)</f>
        <v>0</v>
      </c>
      <c r="U16" s="437" t="e">
        <f t="shared" si="2"/>
        <v>#DIV/0!</v>
      </c>
      <c r="V16" s="437" t="e">
        <f t="shared" si="3"/>
        <v>#DIV/0!</v>
      </c>
      <c r="X16" s="641" t="e">
        <f t="shared" si="4"/>
        <v>#DIV/0!</v>
      </c>
      <c r="Y16" s="437" t="e">
        <f t="shared" si="5"/>
        <v>#DIV/0!</v>
      </c>
    </row>
    <row r="17" spans="1:25" ht="15" customHeight="1">
      <c r="A17" s="517" t="s">
        <v>228</v>
      </c>
      <c r="B17" s="160" t="s">
        <v>886</v>
      </c>
      <c r="C17" s="160" t="s">
        <v>888</v>
      </c>
      <c r="D17" s="434">
        <f>SUMIF('4-Basis ruimtestaat'!B:B,A17,'4-Basis ruimtestaat'!J:J)</f>
        <v>621.0999999999998</v>
      </c>
      <c r="E17" s="434" cm="1">
        <f t="array" ref="E17">MAX(IF('4-Basis ruimtestaat'!B:B=A17,'4-Basis ruimtestaat'!S:S))</f>
        <v>190</v>
      </c>
      <c r="F17" s="434" t="e">
        <f>SUMIF('4-Basis ruimtestaat'!B:B,A17,'4-Basis ruimtestaat'!T:T)</f>
        <v>#DIV/0!</v>
      </c>
      <c r="G17" s="435" t="e">
        <f t="shared" si="6"/>
        <v>#DIV/0!</v>
      </c>
      <c r="H17" s="464"/>
      <c r="I17" s="435" t="e">
        <f t="shared" si="0"/>
        <v>#DIV/0!</v>
      </c>
      <c r="J17" s="105"/>
      <c r="K17" s="437" t="e">
        <f>F17*'6-Opbouw uurtarief productie'!$E$47</f>
        <v>#DIV/0!</v>
      </c>
      <c r="L17" s="437" t="e">
        <f>G17*'6-Opbouw uurtarief productie'!$E$47</f>
        <v>#DIV/0!</v>
      </c>
      <c r="M17" s="437" t="e">
        <f t="shared" si="1"/>
        <v>#DIV/0!</v>
      </c>
      <c r="N17" s="437" t="e">
        <f>I17*'7-Opbouw uurtarief toezicht'!$E$47</f>
        <v>#DIV/0!</v>
      </c>
      <c r="O17" s="437" t="e">
        <f>VLOOKUP(A17,'9b-Vloeronderhoud'!$A$14:$K$60,4,FALSE)</f>
        <v>#DIV/0!</v>
      </c>
      <c r="P17" s="437" t="e">
        <f>VLOOKUP(A17,'9b-Vloeronderhoud'!$A$14:$K$60,8,FALSE)</f>
        <v>#DIV/0!</v>
      </c>
      <c r="Q17" s="437" t="e">
        <f>VLOOKUP(A17,'9b-Vloeronderhoud'!$A$14:$K$60,11,FALSE)</f>
        <v>#DIV/0!</v>
      </c>
      <c r="R17" s="437" t="e">
        <f>VLOOKUP(A17,'9b-Vloeronderhoud'!$A$14:$R$60,18,FALSE)</f>
        <v>#DIV/0!</v>
      </c>
      <c r="S17" s="489">
        <f>SUMIF('8-Additionele werkzaamheden'!A:A,A17,'8-Additionele werkzaamheden'!G:G)</f>
        <v>0</v>
      </c>
      <c r="T17" s="489">
        <f>SUMIF('10-Glasbewassing'!A:A,A17,'10-Glasbewassing'!G:G)</f>
        <v>0</v>
      </c>
      <c r="U17" s="437" t="e">
        <f t="shared" si="2"/>
        <v>#DIV/0!</v>
      </c>
      <c r="V17" s="437" t="e">
        <f t="shared" si="3"/>
        <v>#DIV/0!</v>
      </c>
      <c r="X17" s="641" t="e">
        <f t="shared" si="4"/>
        <v>#DIV/0!</v>
      </c>
      <c r="Y17" s="437" t="e">
        <f t="shared" si="5"/>
        <v>#DIV/0!</v>
      </c>
    </row>
    <row r="18" spans="1:25" ht="15" customHeight="1">
      <c r="A18" s="517" t="s">
        <v>247</v>
      </c>
      <c r="B18" s="108" t="s">
        <v>909</v>
      </c>
      <c r="C18" s="160" t="s">
        <v>911</v>
      </c>
      <c r="D18" s="434">
        <f>SUMIF('4-Basis ruimtestaat'!B:B,A18,'4-Basis ruimtestaat'!J:J)</f>
        <v>577.39999794960022</v>
      </c>
      <c r="E18" s="434" cm="1">
        <f t="array" ref="E18">MAX(IF('4-Basis ruimtestaat'!B:B=A18,'4-Basis ruimtestaat'!S:S))</f>
        <v>190</v>
      </c>
      <c r="F18" s="434" t="e">
        <f>SUMIF('4-Basis ruimtestaat'!B:B,A18,'4-Basis ruimtestaat'!T:T)</f>
        <v>#DIV/0!</v>
      </c>
      <c r="G18" s="435" t="e">
        <f t="shared" si="6"/>
        <v>#DIV/0!</v>
      </c>
      <c r="H18" s="464"/>
      <c r="I18" s="435" t="e">
        <f t="shared" si="0"/>
        <v>#DIV/0!</v>
      </c>
      <c r="J18" s="105"/>
      <c r="K18" s="437" t="e">
        <f>F18*'6-Opbouw uurtarief productie'!$E$47</f>
        <v>#DIV/0!</v>
      </c>
      <c r="L18" s="437" t="e">
        <f>G18*'6-Opbouw uurtarief productie'!$E$47</f>
        <v>#DIV/0!</v>
      </c>
      <c r="M18" s="437" t="e">
        <f t="shared" si="1"/>
        <v>#DIV/0!</v>
      </c>
      <c r="N18" s="437" t="e">
        <f>I18*'7-Opbouw uurtarief toezicht'!$E$47</f>
        <v>#DIV/0!</v>
      </c>
      <c r="O18" s="437">
        <f>VLOOKUP(A18,'9b-Vloeronderhoud'!$A$14:$K$60,4,FALSE)</f>
        <v>0</v>
      </c>
      <c r="P18" s="437" t="e">
        <f>VLOOKUP(A18,'9b-Vloeronderhoud'!$A$14:$K$60,8,FALSE)</f>
        <v>#DIV/0!</v>
      </c>
      <c r="Q18" s="437" t="e">
        <f>VLOOKUP(A18,'9b-Vloeronderhoud'!$A$14:$K$60,11,FALSE)</f>
        <v>#DIV/0!</v>
      </c>
      <c r="R18" s="437" t="e">
        <f>VLOOKUP(A18,'9b-Vloeronderhoud'!$A$14:$R$60,18,FALSE)</f>
        <v>#DIV/0!</v>
      </c>
      <c r="S18" s="489">
        <f>SUMIF('8-Additionele werkzaamheden'!A:A,A18,'8-Additionele werkzaamheden'!G:G)</f>
        <v>0</v>
      </c>
      <c r="T18" s="489">
        <f>SUMIF('10-Glasbewassing'!A:A,A18,'10-Glasbewassing'!G:G)</f>
        <v>0</v>
      </c>
      <c r="U18" s="437" t="e">
        <f t="shared" si="2"/>
        <v>#DIV/0!</v>
      </c>
      <c r="V18" s="437" t="e">
        <f t="shared" si="3"/>
        <v>#DIV/0!</v>
      </c>
      <c r="X18" s="641" t="e">
        <f t="shared" si="4"/>
        <v>#DIV/0!</v>
      </c>
      <c r="Y18" s="437" t="e">
        <f t="shared" si="5"/>
        <v>#DIV/0!</v>
      </c>
    </row>
    <row r="19" spans="1:25" ht="15" customHeight="1">
      <c r="A19" s="517" t="s">
        <v>239</v>
      </c>
      <c r="B19" s="160" t="s">
        <v>894</v>
      </c>
      <c r="C19" s="160" t="s">
        <v>900</v>
      </c>
      <c r="D19" s="434">
        <f>SUMIF('4-Basis ruimtestaat'!B:B,A19,'4-Basis ruimtestaat'!J:J)</f>
        <v>2125.0179999999996</v>
      </c>
      <c r="E19" s="434" cm="1">
        <f t="array" ref="E19">MAX(IF('4-Basis ruimtestaat'!B:B=A19,'4-Basis ruimtestaat'!S:S))</f>
        <v>190</v>
      </c>
      <c r="F19" s="434" t="e">
        <f>SUMIF('4-Basis ruimtestaat'!B:B,A19,'4-Basis ruimtestaat'!T:T)</f>
        <v>#DIV/0!</v>
      </c>
      <c r="G19" s="435" t="e">
        <f t="shared" si="6"/>
        <v>#DIV/0!</v>
      </c>
      <c r="H19" s="464"/>
      <c r="I19" s="435" t="e">
        <f t="shared" si="0"/>
        <v>#DIV/0!</v>
      </c>
      <c r="J19" s="105"/>
      <c r="K19" s="437" t="e">
        <f>F19*'6-Opbouw uurtarief productie'!$E$47</f>
        <v>#DIV/0!</v>
      </c>
      <c r="L19" s="437" t="e">
        <f>G19*'6-Opbouw uurtarief productie'!$E$47</f>
        <v>#DIV/0!</v>
      </c>
      <c r="M19" s="437" t="e">
        <f t="shared" si="1"/>
        <v>#DIV/0!</v>
      </c>
      <c r="N19" s="437" t="e">
        <f>I19*'7-Opbouw uurtarief toezicht'!$E$47</f>
        <v>#DIV/0!</v>
      </c>
      <c r="O19" s="437" t="e">
        <f>VLOOKUP(A19,'9b-Vloeronderhoud'!$A$14:$K$60,4,FALSE)</f>
        <v>#DIV/0!</v>
      </c>
      <c r="P19" s="437" t="e">
        <f>VLOOKUP(A19,'9b-Vloeronderhoud'!$A$14:$K$60,8,FALSE)</f>
        <v>#DIV/0!</v>
      </c>
      <c r="Q19" s="437" t="e">
        <f>VLOOKUP(A19,'9b-Vloeronderhoud'!$A$14:$K$60,11,FALSE)</f>
        <v>#DIV/0!</v>
      </c>
      <c r="R19" s="437" t="e">
        <f>VLOOKUP(A19,'9b-Vloeronderhoud'!$A$14:$R$60,18,FALSE)</f>
        <v>#DIV/0!</v>
      </c>
      <c r="S19" s="489">
        <f>SUMIF('8-Additionele werkzaamheden'!A:A,A19,'8-Additionele werkzaamheden'!G:G)</f>
        <v>0</v>
      </c>
      <c r="T19" s="489">
        <f>SUMIF('10-Glasbewassing'!A:A,A19,'10-Glasbewassing'!G:G)</f>
        <v>0</v>
      </c>
      <c r="U19" s="437" t="e">
        <f t="shared" si="2"/>
        <v>#DIV/0!</v>
      </c>
      <c r="V19" s="437" t="e">
        <f t="shared" si="3"/>
        <v>#DIV/0!</v>
      </c>
      <c r="X19" s="641" t="e">
        <f t="shared" si="4"/>
        <v>#DIV/0!</v>
      </c>
      <c r="Y19" s="437" t="e">
        <f t="shared" si="5"/>
        <v>#DIV/0!</v>
      </c>
    </row>
    <row r="20" spans="1:25" ht="15" customHeight="1">
      <c r="A20" s="517" t="s">
        <v>234</v>
      </c>
      <c r="B20" s="160" t="s">
        <v>894</v>
      </c>
      <c r="C20" s="160" t="s">
        <v>895</v>
      </c>
      <c r="D20" s="434">
        <f>SUMIF('4-Basis ruimtestaat'!B:B,A20,'4-Basis ruimtestaat'!J:J)</f>
        <v>802.41000938415527</v>
      </c>
      <c r="E20" s="434" cm="1">
        <f t="array" ref="E20">MAX(IF('4-Basis ruimtestaat'!B:B=A20,'4-Basis ruimtestaat'!S:S))</f>
        <v>190</v>
      </c>
      <c r="F20" s="434" t="e">
        <f>SUMIF('4-Basis ruimtestaat'!B:B,A20,'4-Basis ruimtestaat'!T:T)</f>
        <v>#DIV/0!</v>
      </c>
      <c r="G20" s="435" t="e">
        <f t="shared" si="6"/>
        <v>#DIV/0!</v>
      </c>
      <c r="H20" s="464"/>
      <c r="I20" s="435" t="e">
        <f t="shared" si="0"/>
        <v>#DIV/0!</v>
      </c>
      <c r="J20" s="105"/>
      <c r="K20" s="437" t="e">
        <f>F20*'6-Opbouw uurtarief productie'!$E$47</f>
        <v>#DIV/0!</v>
      </c>
      <c r="L20" s="437" t="e">
        <f>G20*'6-Opbouw uurtarief productie'!$E$47</f>
        <v>#DIV/0!</v>
      </c>
      <c r="M20" s="437" t="e">
        <f t="shared" si="1"/>
        <v>#DIV/0!</v>
      </c>
      <c r="N20" s="437" t="e">
        <f>I20*'7-Opbouw uurtarief toezicht'!$E$47</f>
        <v>#DIV/0!</v>
      </c>
      <c r="O20" s="437" t="e">
        <f>VLOOKUP(A20,'9b-Vloeronderhoud'!$A$14:$K$60,4,FALSE)</f>
        <v>#DIV/0!</v>
      </c>
      <c r="P20" s="437" t="e">
        <f>VLOOKUP(A20,'9b-Vloeronderhoud'!$A$14:$K$60,8,FALSE)</f>
        <v>#DIV/0!</v>
      </c>
      <c r="Q20" s="437" t="e">
        <f>VLOOKUP(A20,'9b-Vloeronderhoud'!$A$14:$K$60,11,FALSE)</f>
        <v>#DIV/0!</v>
      </c>
      <c r="R20" s="437" t="e">
        <f>VLOOKUP(A20,'9b-Vloeronderhoud'!$A$14:$R$60,18,FALSE)</f>
        <v>#DIV/0!</v>
      </c>
      <c r="S20" s="489">
        <f>SUMIF('8-Additionele werkzaamheden'!A:A,A20,'8-Additionele werkzaamheden'!G:G)</f>
        <v>0</v>
      </c>
      <c r="T20" s="489">
        <f>SUMIF('10-Glasbewassing'!A:A,A20,'10-Glasbewassing'!G:G)</f>
        <v>0</v>
      </c>
      <c r="U20" s="437" t="e">
        <f t="shared" si="2"/>
        <v>#DIV/0!</v>
      </c>
      <c r="V20" s="437" t="e">
        <f t="shared" si="3"/>
        <v>#DIV/0!</v>
      </c>
      <c r="X20" s="641" t="e">
        <f t="shared" si="4"/>
        <v>#DIV/0!</v>
      </c>
      <c r="Y20" s="437" t="e">
        <f t="shared" si="5"/>
        <v>#DIV/0!</v>
      </c>
    </row>
    <row r="21" spans="1:25" ht="15" customHeight="1">
      <c r="A21" s="517" t="s">
        <v>256</v>
      </c>
      <c r="B21" s="108" t="s">
        <v>909</v>
      </c>
      <c r="C21" s="160" t="s">
        <v>1057</v>
      </c>
      <c r="D21" s="434">
        <f>SUMIF('4-Basis ruimtestaat'!B:B,A21,'4-Basis ruimtestaat'!J:J)</f>
        <v>1321.3400075435638</v>
      </c>
      <c r="E21" s="434" cm="1">
        <f t="array" ref="E21">MAX(IF('4-Basis ruimtestaat'!B:B=A21,'4-Basis ruimtestaat'!S:S))</f>
        <v>190</v>
      </c>
      <c r="F21" s="434" t="e">
        <f>SUMIF('4-Basis ruimtestaat'!B:B,A21,'4-Basis ruimtestaat'!T:T)</f>
        <v>#DIV/0!</v>
      </c>
      <c r="G21" s="435" t="e">
        <f t="shared" si="6"/>
        <v>#DIV/0!</v>
      </c>
      <c r="H21" s="464"/>
      <c r="I21" s="435" t="e">
        <f t="shared" si="0"/>
        <v>#DIV/0!</v>
      </c>
      <c r="J21" s="105"/>
      <c r="K21" s="437" t="e">
        <f>F21*'6-Opbouw uurtarief productie'!$E$47</f>
        <v>#DIV/0!</v>
      </c>
      <c r="L21" s="437" t="e">
        <f>G21*'6-Opbouw uurtarief productie'!$E$47</f>
        <v>#DIV/0!</v>
      </c>
      <c r="M21" s="437" t="e">
        <f t="shared" si="1"/>
        <v>#DIV/0!</v>
      </c>
      <c r="N21" s="437" t="e">
        <f>I21*'7-Opbouw uurtarief toezicht'!$E$47</f>
        <v>#DIV/0!</v>
      </c>
      <c r="O21" s="437" t="e">
        <f>VLOOKUP(A21,'9b-Vloeronderhoud'!$A$14:$K$60,4,FALSE)</f>
        <v>#DIV/0!</v>
      </c>
      <c r="P21" s="437" t="e">
        <f>VLOOKUP(A21,'9b-Vloeronderhoud'!$A$14:$K$60,8,FALSE)</f>
        <v>#DIV/0!</v>
      </c>
      <c r="Q21" s="437" t="e">
        <f>VLOOKUP(A21,'9b-Vloeronderhoud'!$A$14:$K$60,11,FALSE)</f>
        <v>#DIV/0!</v>
      </c>
      <c r="R21" s="437" t="e">
        <f>VLOOKUP(A21,'9b-Vloeronderhoud'!$A$14:$R$60,18,FALSE)</f>
        <v>#DIV/0!</v>
      </c>
      <c r="S21" s="489">
        <f>SUMIF('8-Additionele werkzaamheden'!A:A,A21,'8-Additionele werkzaamheden'!G:G)</f>
        <v>0</v>
      </c>
      <c r="T21" s="489">
        <f>SUMIF('10-Glasbewassing'!A:A,A21,'10-Glasbewassing'!G:G)</f>
        <v>0</v>
      </c>
      <c r="U21" s="437" t="e">
        <f t="shared" si="2"/>
        <v>#DIV/0!</v>
      </c>
      <c r="V21" s="437" t="e">
        <f t="shared" si="3"/>
        <v>#DIV/0!</v>
      </c>
      <c r="X21" s="641" t="e">
        <f t="shared" si="4"/>
        <v>#DIV/0!</v>
      </c>
      <c r="Y21" s="437" t="e">
        <f t="shared" si="5"/>
        <v>#DIV/0!</v>
      </c>
    </row>
    <row r="22" spans="1:25" ht="15" customHeight="1">
      <c r="A22" s="485" t="s">
        <v>231</v>
      </c>
      <c r="B22" s="160" t="s">
        <v>886</v>
      </c>
      <c r="C22" s="160" t="s">
        <v>891</v>
      </c>
      <c r="D22" s="434">
        <f>SUMIF('4-Basis ruimtestaat'!B:B,A22,'4-Basis ruimtestaat'!J:J)</f>
        <v>1480.1699994802475</v>
      </c>
      <c r="E22" s="434" cm="1">
        <f t="array" ref="E22">MAX(IF('4-Basis ruimtestaat'!B:B=A22,'4-Basis ruimtestaat'!S:S))</f>
        <v>190</v>
      </c>
      <c r="F22" s="434" t="e">
        <f>SUMIF('4-Basis ruimtestaat'!B:B,A22,'4-Basis ruimtestaat'!T:T)</f>
        <v>#DIV/0!</v>
      </c>
      <c r="G22" s="435" t="e">
        <f t="shared" si="6"/>
        <v>#DIV/0!</v>
      </c>
      <c r="H22" s="464"/>
      <c r="I22" s="435" t="e">
        <f t="shared" si="0"/>
        <v>#DIV/0!</v>
      </c>
      <c r="J22" s="105"/>
      <c r="K22" s="437" t="e">
        <f>F22*'6-Opbouw uurtarief productie'!$E$47</f>
        <v>#DIV/0!</v>
      </c>
      <c r="L22" s="437" t="e">
        <f>G22*'6-Opbouw uurtarief productie'!$E$47</f>
        <v>#DIV/0!</v>
      </c>
      <c r="M22" s="437" t="e">
        <f t="shared" si="1"/>
        <v>#DIV/0!</v>
      </c>
      <c r="N22" s="437" t="e">
        <f>I22*'7-Opbouw uurtarief toezicht'!$E$47</f>
        <v>#DIV/0!</v>
      </c>
      <c r="O22" s="437" t="e">
        <f>VLOOKUP(A22,'9b-Vloeronderhoud'!$A$14:$K$60,4,FALSE)</f>
        <v>#DIV/0!</v>
      </c>
      <c r="P22" s="437" t="e">
        <f>VLOOKUP(A22,'9b-Vloeronderhoud'!$A$14:$K$60,8,FALSE)</f>
        <v>#DIV/0!</v>
      </c>
      <c r="Q22" s="437" t="e">
        <f>VLOOKUP(A22,'9b-Vloeronderhoud'!$A$14:$K$60,11,FALSE)</f>
        <v>#DIV/0!</v>
      </c>
      <c r="R22" s="437" t="e">
        <f>VLOOKUP(A22,'9b-Vloeronderhoud'!$A$14:$R$60,18,FALSE)</f>
        <v>#DIV/0!</v>
      </c>
      <c r="S22" s="489">
        <f>SUMIF('8-Additionele werkzaamheden'!A:A,A22,'8-Additionele werkzaamheden'!G:G)</f>
        <v>0</v>
      </c>
      <c r="T22" s="489">
        <f>SUMIF('10-Glasbewassing'!A:A,A22,'10-Glasbewassing'!G:G)</f>
        <v>0</v>
      </c>
      <c r="U22" s="437" t="e">
        <f t="shared" si="2"/>
        <v>#DIV/0!</v>
      </c>
      <c r="V22" s="437" t="e">
        <f t="shared" si="3"/>
        <v>#DIV/0!</v>
      </c>
      <c r="X22" s="641" t="e">
        <f t="shared" si="4"/>
        <v>#DIV/0!</v>
      </c>
      <c r="Y22" s="437" t="e">
        <f t="shared" si="5"/>
        <v>#DIV/0!</v>
      </c>
    </row>
    <row r="23" spans="1:25" ht="15" customHeight="1">
      <c r="A23" s="485" t="s">
        <v>261</v>
      </c>
      <c r="B23" s="160" t="s">
        <v>894</v>
      </c>
      <c r="C23" s="160" t="s">
        <v>896</v>
      </c>
      <c r="D23" s="434">
        <f>SUMIF('4-Basis ruimtestaat'!B:B,A23,'4-Basis ruimtestaat'!J:J)</f>
        <v>1476.0000177621841</v>
      </c>
      <c r="E23" s="434" cm="1">
        <f t="array" ref="E23">MAX(IF('4-Basis ruimtestaat'!B:B=A23,'4-Basis ruimtestaat'!S:S))</f>
        <v>190</v>
      </c>
      <c r="F23" s="434" t="e">
        <f>SUMIF('4-Basis ruimtestaat'!B:B,A23,'4-Basis ruimtestaat'!T:T)</f>
        <v>#DIV/0!</v>
      </c>
      <c r="G23" s="435" t="e">
        <f t="shared" si="6"/>
        <v>#DIV/0!</v>
      </c>
      <c r="H23" s="464"/>
      <c r="I23" s="435" t="e">
        <f t="shared" si="0"/>
        <v>#DIV/0!</v>
      </c>
      <c r="J23" s="105"/>
      <c r="K23" s="437" t="e">
        <f>F23*'6-Opbouw uurtarief productie'!$E$47</f>
        <v>#DIV/0!</v>
      </c>
      <c r="L23" s="437" t="e">
        <f>G23*'6-Opbouw uurtarief productie'!$E$47</f>
        <v>#DIV/0!</v>
      </c>
      <c r="M23" s="437" t="e">
        <f t="shared" si="1"/>
        <v>#DIV/0!</v>
      </c>
      <c r="N23" s="437" t="e">
        <f>I23*'7-Opbouw uurtarief toezicht'!$E$47</f>
        <v>#DIV/0!</v>
      </c>
      <c r="O23" s="437" t="e">
        <f>VLOOKUP(A23,'9b-Vloeronderhoud'!$A$14:$K$60,4,FALSE)</f>
        <v>#DIV/0!</v>
      </c>
      <c r="P23" s="437" t="e">
        <f>VLOOKUP(A23,'9b-Vloeronderhoud'!$A$14:$K$60,8,FALSE)</f>
        <v>#DIV/0!</v>
      </c>
      <c r="Q23" s="437" t="e">
        <f>VLOOKUP(A23,'9b-Vloeronderhoud'!$A$14:$K$60,11,FALSE)</f>
        <v>#DIV/0!</v>
      </c>
      <c r="R23" s="437" t="e">
        <f>VLOOKUP(A23,'9b-Vloeronderhoud'!$A$14:$R$60,18,FALSE)</f>
        <v>#DIV/0!</v>
      </c>
      <c r="S23" s="489">
        <f>SUMIF('8-Additionele werkzaamheden'!A:A,A23,'8-Additionele werkzaamheden'!G:G)</f>
        <v>0</v>
      </c>
      <c r="T23" s="489">
        <f>SUMIF('10-Glasbewassing'!A:A,A23,'10-Glasbewassing'!G:G)</f>
        <v>0</v>
      </c>
      <c r="U23" s="437" t="e">
        <f t="shared" si="2"/>
        <v>#DIV/0!</v>
      </c>
      <c r="V23" s="437" t="e">
        <f t="shared" si="3"/>
        <v>#DIV/0!</v>
      </c>
      <c r="X23" s="641" t="e">
        <f t="shared" si="4"/>
        <v>#DIV/0!</v>
      </c>
      <c r="Y23" s="437" t="e">
        <f t="shared" si="5"/>
        <v>#DIV/0!</v>
      </c>
    </row>
    <row r="24" spans="1:25" ht="15" customHeight="1">
      <c r="A24" s="485" t="s">
        <v>262</v>
      </c>
      <c r="B24" s="160" t="s">
        <v>894</v>
      </c>
      <c r="C24" s="160" t="s">
        <v>896</v>
      </c>
      <c r="D24" s="434">
        <f>SUMIF('4-Basis ruimtestaat'!B:B,A24,'4-Basis ruimtestaat'!J:J)</f>
        <v>1213.3999999999996</v>
      </c>
      <c r="E24" s="434" cm="1">
        <f t="array" ref="E24">MAX(IF('4-Basis ruimtestaat'!B:B=A24,'4-Basis ruimtestaat'!S:S))</f>
        <v>190</v>
      </c>
      <c r="F24" s="434" t="e">
        <f>SUMIF('4-Basis ruimtestaat'!B:B,A24,'4-Basis ruimtestaat'!T:T)</f>
        <v>#DIV/0!</v>
      </c>
      <c r="G24" s="435" t="e">
        <f t="shared" si="6"/>
        <v>#DIV/0!</v>
      </c>
      <c r="H24" s="464"/>
      <c r="I24" s="435" t="e">
        <f t="shared" si="0"/>
        <v>#DIV/0!</v>
      </c>
      <c r="J24" s="105"/>
      <c r="K24" s="437" t="e">
        <f>F24*'6-Opbouw uurtarief productie'!$E$47</f>
        <v>#DIV/0!</v>
      </c>
      <c r="L24" s="437" t="e">
        <f>G24*'6-Opbouw uurtarief productie'!$E$47</f>
        <v>#DIV/0!</v>
      </c>
      <c r="M24" s="437" t="e">
        <f t="shared" si="1"/>
        <v>#DIV/0!</v>
      </c>
      <c r="N24" s="437" t="e">
        <f>I24*'7-Opbouw uurtarief toezicht'!$E$47</f>
        <v>#DIV/0!</v>
      </c>
      <c r="O24" s="437">
        <f>VLOOKUP(A24,'9b-Vloeronderhoud'!$A$14:$K$60,4,FALSE)</f>
        <v>0</v>
      </c>
      <c r="P24" s="437" t="e">
        <f>VLOOKUP(A24,'9b-Vloeronderhoud'!$A$14:$K$60,8,FALSE)</f>
        <v>#DIV/0!</v>
      </c>
      <c r="Q24" s="437" t="e">
        <f>VLOOKUP(A24,'9b-Vloeronderhoud'!$A$14:$K$60,11,FALSE)</f>
        <v>#DIV/0!</v>
      </c>
      <c r="R24" s="437" t="e">
        <f>VLOOKUP(A24,'9b-Vloeronderhoud'!$A$14:$R$60,18,FALSE)</f>
        <v>#DIV/0!</v>
      </c>
      <c r="S24" s="489">
        <f>SUMIF('8-Additionele werkzaamheden'!A:A,A24,'8-Additionele werkzaamheden'!G:G)</f>
        <v>0</v>
      </c>
      <c r="T24" s="489">
        <f>SUMIF('10-Glasbewassing'!A:A,A24,'10-Glasbewassing'!G:G)</f>
        <v>0</v>
      </c>
      <c r="U24" s="437" t="e">
        <f t="shared" si="2"/>
        <v>#DIV/0!</v>
      </c>
      <c r="V24" s="437" t="e">
        <f t="shared" si="3"/>
        <v>#DIV/0!</v>
      </c>
      <c r="X24" s="641" t="e">
        <f t="shared" si="4"/>
        <v>#DIV/0!</v>
      </c>
      <c r="Y24" s="437" t="e">
        <f t="shared" si="5"/>
        <v>#DIV/0!</v>
      </c>
    </row>
    <row r="25" spans="1:25" ht="15" customHeight="1">
      <c r="A25" s="485" t="s">
        <v>237</v>
      </c>
      <c r="B25" s="160" t="s">
        <v>894</v>
      </c>
      <c r="C25" s="160" t="s">
        <v>898</v>
      </c>
      <c r="D25" s="434">
        <f>SUMIF('4-Basis ruimtestaat'!B:B,A25,'4-Basis ruimtestaat'!J:J)</f>
        <v>785.77999999999986</v>
      </c>
      <c r="E25" s="434" cm="1">
        <f t="array" ref="E25">MAX(IF('4-Basis ruimtestaat'!B:B=A25,'4-Basis ruimtestaat'!S:S))</f>
        <v>190</v>
      </c>
      <c r="F25" s="434" t="e">
        <f>SUMIF('4-Basis ruimtestaat'!B:B,A25,'4-Basis ruimtestaat'!T:T)</f>
        <v>#DIV/0!</v>
      </c>
      <c r="G25" s="435" t="e">
        <f t="shared" si="6"/>
        <v>#DIV/0!</v>
      </c>
      <c r="H25" s="464"/>
      <c r="I25" s="435" t="e">
        <f t="shared" si="0"/>
        <v>#DIV/0!</v>
      </c>
      <c r="J25" s="105"/>
      <c r="K25" s="437" t="e">
        <f>F25*'6-Opbouw uurtarief productie'!$E$47</f>
        <v>#DIV/0!</v>
      </c>
      <c r="L25" s="437" t="e">
        <f>G25*'6-Opbouw uurtarief productie'!$E$47</f>
        <v>#DIV/0!</v>
      </c>
      <c r="M25" s="437" t="e">
        <f t="shared" si="1"/>
        <v>#DIV/0!</v>
      </c>
      <c r="N25" s="437" t="e">
        <f>I25*'7-Opbouw uurtarief toezicht'!$E$47</f>
        <v>#DIV/0!</v>
      </c>
      <c r="O25" s="437">
        <f>VLOOKUP(A25,'9b-Vloeronderhoud'!$A$14:$K$60,4,FALSE)</f>
        <v>0</v>
      </c>
      <c r="P25" s="437" t="e">
        <f>VLOOKUP(A25,'9b-Vloeronderhoud'!$A$14:$K$60,8,FALSE)</f>
        <v>#DIV/0!</v>
      </c>
      <c r="Q25" s="437" t="e">
        <f>VLOOKUP(A25,'9b-Vloeronderhoud'!$A$14:$K$60,11,FALSE)</f>
        <v>#DIV/0!</v>
      </c>
      <c r="R25" s="437" t="e">
        <f>VLOOKUP(A25,'9b-Vloeronderhoud'!$A$14:$R$60,18,FALSE)</f>
        <v>#DIV/0!</v>
      </c>
      <c r="S25" s="489">
        <f>SUMIF('8-Additionele werkzaamheden'!A:A,A25,'8-Additionele werkzaamheden'!G:G)</f>
        <v>0</v>
      </c>
      <c r="T25" s="489">
        <f>SUMIF('10-Glasbewassing'!A:A,A25,'10-Glasbewassing'!G:G)</f>
        <v>0</v>
      </c>
      <c r="U25" s="437" t="e">
        <f t="shared" si="2"/>
        <v>#DIV/0!</v>
      </c>
      <c r="V25" s="437" t="e">
        <f t="shared" si="3"/>
        <v>#DIV/0!</v>
      </c>
      <c r="X25" s="641" t="e">
        <f t="shared" si="4"/>
        <v>#DIV/0!</v>
      </c>
      <c r="Y25" s="437" t="e">
        <f t="shared" si="5"/>
        <v>#DIV/0!</v>
      </c>
    </row>
    <row r="26" spans="1:25" ht="15" customHeight="1">
      <c r="A26" s="485" t="s">
        <v>245</v>
      </c>
      <c r="B26" s="160" t="s">
        <v>902</v>
      </c>
      <c r="C26" s="160" t="s">
        <v>905</v>
      </c>
      <c r="D26" s="434">
        <f>SUMIF('4-Basis ruimtestaat'!B:B,A26,'4-Basis ruimtestaat'!J:J)</f>
        <v>973.60000000000014</v>
      </c>
      <c r="E26" s="434" cm="1">
        <f t="array" ref="E26">MAX(IF('4-Basis ruimtestaat'!B:B=A26,'4-Basis ruimtestaat'!S:S))</f>
        <v>190</v>
      </c>
      <c r="F26" s="434" t="e">
        <f>SUMIF('4-Basis ruimtestaat'!B:B,A26,'4-Basis ruimtestaat'!T:T)</f>
        <v>#DIV/0!</v>
      </c>
      <c r="G26" s="435" t="e">
        <f t="shared" si="6"/>
        <v>#DIV/0!</v>
      </c>
      <c r="H26" s="464"/>
      <c r="I26" s="435" t="e">
        <f t="shared" si="0"/>
        <v>#DIV/0!</v>
      </c>
      <c r="J26" s="105"/>
      <c r="K26" s="437" t="e">
        <f>F26*'6-Opbouw uurtarief productie'!$E$47</f>
        <v>#DIV/0!</v>
      </c>
      <c r="L26" s="437" t="e">
        <f>G26*'6-Opbouw uurtarief productie'!$E$47</f>
        <v>#DIV/0!</v>
      </c>
      <c r="M26" s="437" t="e">
        <f t="shared" si="1"/>
        <v>#DIV/0!</v>
      </c>
      <c r="N26" s="437" t="e">
        <f>I26*'7-Opbouw uurtarief toezicht'!$E$47</f>
        <v>#DIV/0!</v>
      </c>
      <c r="O26" s="437">
        <f>VLOOKUP(A26,'9b-Vloeronderhoud'!$A$14:$K$60,4,FALSE)</f>
        <v>0</v>
      </c>
      <c r="P26" s="437" t="e">
        <f>VLOOKUP(A26,'9b-Vloeronderhoud'!$A$14:$K$60,8,FALSE)</f>
        <v>#DIV/0!</v>
      </c>
      <c r="Q26" s="437" t="e">
        <f>VLOOKUP(A26,'9b-Vloeronderhoud'!$A$14:$K$60,11,FALSE)</f>
        <v>#DIV/0!</v>
      </c>
      <c r="R26" s="437" t="e">
        <f>VLOOKUP(A26,'9b-Vloeronderhoud'!$A$14:$R$60,18,FALSE)</f>
        <v>#DIV/0!</v>
      </c>
      <c r="S26" s="489">
        <f>SUMIF('8-Additionele werkzaamheden'!A:A,A26,'8-Additionele werkzaamheden'!G:G)</f>
        <v>0</v>
      </c>
      <c r="T26" s="489">
        <f>SUMIF('10-Glasbewassing'!A:A,A26,'10-Glasbewassing'!G:G)</f>
        <v>0</v>
      </c>
      <c r="U26" s="437" t="e">
        <f t="shared" si="2"/>
        <v>#DIV/0!</v>
      </c>
      <c r="V26" s="437" t="e">
        <f t="shared" si="3"/>
        <v>#DIV/0!</v>
      </c>
      <c r="X26" s="641" t="e">
        <f t="shared" si="4"/>
        <v>#DIV/0!</v>
      </c>
      <c r="Y26" s="437" t="e">
        <f t="shared" si="5"/>
        <v>#DIV/0!</v>
      </c>
    </row>
    <row r="27" spans="1:25" ht="15" customHeight="1">
      <c r="A27" s="485" t="s">
        <v>235</v>
      </c>
      <c r="B27" s="160" t="s">
        <v>894</v>
      </c>
      <c r="C27" s="160" t="s">
        <v>897</v>
      </c>
      <c r="D27" s="434">
        <f>SUMIF('4-Basis ruimtestaat'!B:B,A27,'4-Basis ruimtestaat'!J:J)</f>
        <v>1251.9899985790253</v>
      </c>
      <c r="E27" s="434" cm="1">
        <f t="array" ref="E27">MAX(IF('4-Basis ruimtestaat'!B:B=A27,'4-Basis ruimtestaat'!S:S))</f>
        <v>190</v>
      </c>
      <c r="F27" s="434" t="e">
        <f>SUMIF('4-Basis ruimtestaat'!B:B,A27,'4-Basis ruimtestaat'!T:T)</f>
        <v>#DIV/0!</v>
      </c>
      <c r="G27" s="435" t="e">
        <f t="shared" si="6"/>
        <v>#DIV/0!</v>
      </c>
      <c r="H27" s="464"/>
      <c r="I27" s="435" t="e">
        <f t="shared" si="0"/>
        <v>#DIV/0!</v>
      </c>
      <c r="J27" s="105"/>
      <c r="K27" s="437" t="e">
        <f>F27*'6-Opbouw uurtarief productie'!$E$47</f>
        <v>#DIV/0!</v>
      </c>
      <c r="L27" s="437" t="e">
        <f>G27*'6-Opbouw uurtarief productie'!$E$47</f>
        <v>#DIV/0!</v>
      </c>
      <c r="M27" s="437" t="e">
        <f t="shared" si="1"/>
        <v>#DIV/0!</v>
      </c>
      <c r="N27" s="437" t="e">
        <f>I27*'7-Opbouw uurtarief toezicht'!$E$47</f>
        <v>#DIV/0!</v>
      </c>
      <c r="O27" s="437" t="e">
        <f>VLOOKUP(A27,'9b-Vloeronderhoud'!$A$14:$K$60,4,FALSE)</f>
        <v>#DIV/0!</v>
      </c>
      <c r="P27" s="437" t="e">
        <f>VLOOKUP(A27,'9b-Vloeronderhoud'!$A$14:$K$60,8,FALSE)</f>
        <v>#DIV/0!</v>
      </c>
      <c r="Q27" s="437" t="e">
        <f>VLOOKUP(A27,'9b-Vloeronderhoud'!$A$14:$K$60,11,FALSE)</f>
        <v>#DIV/0!</v>
      </c>
      <c r="R27" s="437" t="e">
        <f>VLOOKUP(A27,'9b-Vloeronderhoud'!$A$14:$R$60,18,FALSE)</f>
        <v>#DIV/0!</v>
      </c>
      <c r="S27" s="489">
        <f>SUMIF('8-Additionele werkzaamheden'!A:A,A27,'8-Additionele werkzaamheden'!G:G)</f>
        <v>0</v>
      </c>
      <c r="T27" s="489">
        <f>SUMIF('10-Glasbewassing'!A:A,A27,'10-Glasbewassing'!G:G)</f>
        <v>0</v>
      </c>
      <c r="U27" s="437" t="e">
        <f t="shared" si="2"/>
        <v>#DIV/0!</v>
      </c>
      <c r="V27" s="437" t="e">
        <f t="shared" si="3"/>
        <v>#DIV/0!</v>
      </c>
      <c r="X27" s="641" t="e">
        <f t="shared" si="4"/>
        <v>#DIV/0!</v>
      </c>
      <c r="Y27" s="437" t="e">
        <f t="shared" si="5"/>
        <v>#DIV/0!</v>
      </c>
    </row>
    <row r="28" spans="1:25" ht="15" customHeight="1">
      <c r="A28" s="485" t="s">
        <v>424</v>
      </c>
      <c r="B28" s="160" t="s">
        <v>894</v>
      </c>
      <c r="C28" s="160" t="s">
        <v>897</v>
      </c>
      <c r="D28" s="434">
        <f>SUMIF('4-Basis ruimtestaat'!B:B,A28,'4-Basis ruimtestaat'!J:J)</f>
        <v>211.95000100135803</v>
      </c>
      <c r="E28" s="434" cm="1">
        <f t="array" ref="E28">MAX(IF('4-Basis ruimtestaat'!B:B=A28,'4-Basis ruimtestaat'!S:S))</f>
        <v>190</v>
      </c>
      <c r="F28" s="434" t="e">
        <f>SUMIF('4-Basis ruimtestaat'!B:B,A28,'4-Basis ruimtestaat'!T:T)</f>
        <v>#DIV/0!</v>
      </c>
      <c r="G28" s="670"/>
      <c r="H28" s="464"/>
      <c r="I28" s="435" t="e">
        <f t="shared" si="0"/>
        <v>#DIV/0!</v>
      </c>
      <c r="J28" s="105"/>
      <c r="K28" s="437" t="e">
        <f>F28*'6-Opbouw uurtarief productie'!$E$47</f>
        <v>#DIV/0!</v>
      </c>
      <c r="L28" s="437" t="e">
        <f>G28*'6-Opbouw uurtarief productie'!$E$47</f>
        <v>#DIV/0!</v>
      </c>
      <c r="M28" s="437" t="e">
        <f t="shared" si="1"/>
        <v>#DIV/0!</v>
      </c>
      <c r="N28" s="437" t="e">
        <f>I28*'7-Opbouw uurtarief toezicht'!$E$47</f>
        <v>#DIV/0!</v>
      </c>
      <c r="O28" s="437" t="e">
        <f>VLOOKUP(A28,'9b-Vloeronderhoud'!$A$14:$K$60,4,FALSE)</f>
        <v>#DIV/0!</v>
      </c>
      <c r="P28" s="437" t="e">
        <f>VLOOKUP(A28,'9b-Vloeronderhoud'!$A$14:$K$60,8,FALSE)</f>
        <v>#DIV/0!</v>
      </c>
      <c r="Q28" s="437" t="e">
        <f>VLOOKUP(A28,'9b-Vloeronderhoud'!$A$14:$K$60,11,FALSE)</f>
        <v>#DIV/0!</v>
      </c>
      <c r="R28" s="437" t="e">
        <f>VLOOKUP(A28,'9b-Vloeronderhoud'!$A$14:$R$60,18,FALSE)</f>
        <v>#DIV/0!</v>
      </c>
      <c r="S28" s="489">
        <f>SUMIF('8-Additionele werkzaamheden'!A:A,A28,'8-Additionele werkzaamheden'!G:G)</f>
        <v>0</v>
      </c>
      <c r="T28" s="489">
        <f>SUMIF('10-Glasbewassing'!A:A,A28,'10-Glasbewassing'!G:G)</f>
        <v>0</v>
      </c>
      <c r="U28" s="437" t="e">
        <f t="shared" si="2"/>
        <v>#DIV/0!</v>
      </c>
      <c r="V28" s="437" t="e">
        <f t="shared" si="3"/>
        <v>#DIV/0!</v>
      </c>
      <c r="X28" s="641" t="e">
        <f t="shared" si="4"/>
        <v>#DIV/0!</v>
      </c>
      <c r="Y28" s="437" t="e">
        <f t="shared" si="5"/>
        <v>#DIV/0!</v>
      </c>
    </row>
    <row r="29" spans="1:25" ht="15" customHeight="1">
      <c r="A29" s="485" t="s">
        <v>242</v>
      </c>
      <c r="B29" s="160" t="s">
        <v>902</v>
      </c>
      <c r="C29" s="160" t="s">
        <v>906</v>
      </c>
      <c r="D29" s="434">
        <f>SUMIF('4-Basis ruimtestaat'!B:B,A29,'4-Basis ruimtestaat'!J:J)</f>
        <v>941.79999947547913</v>
      </c>
      <c r="E29" s="434" cm="1">
        <f t="array" ref="E29">MAX(IF('4-Basis ruimtestaat'!B:B=A29,'4-Basis ruimtestaat'!S:S))</f>
        <v>120</v>
      </c>
      <c r="F29" s="434" t="e">
        <f>SUMIF('4-Basis ruimtestaat'!B:B,A29,'4-Basis ruimtestaat'!T:T)</f>
        <v>#DIV/0!</v>
      </c>
      <c r="G29" s="670"/>
      <c r="H29" s="464"/>
      <c r="I29" s="435" t="e">
        <f t="shared" si="0"/>
        <v>#DIV/0!</v>
      </c>
      <c r="J29" s="105"/>
      <c r="K29" s="437" t="e">
        <f>F29*'6-Opbouw uurtarief productie'!$E$47</f>
        <v>#DIV/0!</v>
      </c>
      <c r="L29" s="437" t="e">
        <f>G29*'6-Opbouw uurtarief productie'!$E$47</f>
        <v>#DIV/0!</v>
      </c>
      <c r="M29" s="437" t="e">
        <f t="shared" si="1"/>
        <v>#DIV/0!</v>
      </c>
      <c r="N29" s="437" t="e">
        <f>I29*'7-Opbouw uurtarief toezicht'!$E$47</f>
        <v>#DIV/0!</v>
      </c>
      <c r="O29" s="437" t="e">
        <f>VLOOKUP(A29,'9b-Vloeronderhoud'!$A$14:$K$60,4,FALSE)</f>
        <v>#DIV/0!</v>
      </c>
      <c r="P29" s="437" t="e">
        <f>VLOOKUP(A29,'9b-Vloeronderhoud'!$A$14:$K$60,8,FALSE)</f>
        <v>#DIV/0!</v>
      </c>
      <c r="Q29" s="437" t="e">
        <f>VLOOKUP(A29,'9b-Vloeronderhoud'!$A$14:$K$60,11,FALSE)</f>
        <v>#DIV/0!</v>
      </c>
      <c r="R29" s="437" t="e">
        <f>VLOOKUP(A29,'9b-Vloeronderhoud'!$A$14:$R$60,18,FALSE)</f>
        <v>#DIV/0!</v>
      </c>
      <c r="S29" s="489">
        <f>SUMIF('8-Additionele werkzaamheden'!A:A,A29,'8-Additionele werkzaamheden'!G:G)</f>
        <v>0</v>
      </c>
      <c r="T29" s="489">
        <f>SUMIF('10-Glasbewassing'!A:A,A29,'10-Glasbewassing'!G:G)</f>
        <v>0</v>
      </c>
      <c r="U29" s="437" t="e">
        <f t="shared" si="2"/>
        <v>#DIV/0!</v>
      </c>
      <c r="V29" s="437" t="e">
        <f t="shared" si="3"/>
        <v>#DIV/0!</v>
      </c>
      <c r="X29" s="641" t="e">
        <f t="shared" si="4"/>
        <v>#DIV/0!</v>
      </c>
      <c r="Y29" s="437" t="e">
        <f t="shared" si="5"/>
        <v>#DIV/0!</v>
      </c>
    </row>
    <row r="30" spans="1:25" ht="15" customHeight="1">
      <c r="A30" s="485" t="s">
        <v>423</v>
      </c>
      <c r="B30" s="160" t="s">
        <v>902</v>
      </c>
      <c r="C30" s="160" t="s">
        <v>906</v>
      </c>
      <c r="D30" s="434">
        <f>SUMIF('4-Basis ruimtestaat'!B:B,A30,'4-Basis ruimtestaat'!J:J)</f>
        <v>364.19999980926514</v>
      </c>
      <c r="E30" s="434" cm="1">
        <f t="array" ref="E30">MAX(IF('4-Basis ruimtestaat'!B:B=A30,'4-Basis ruimtestaat'!S:S))</f>
        <v>120</v>
      </c>
      <c r="F30" s="434" t="e">
        <f>SUMIF('4-Basis ruimtestaat'!B:B,A30,'4-Basis ruimtestaat'!T:T)</f>
        <v>#DIV/0!</v>
      </c>
      <c r="G30" s="435" t="e">
        <f>IF(F30&lt;E30*$G$8,E30*$G$8-F30,0)</f>
        <v>#DIV/0!</v>
      </c>
      <c r="H30" s="464"/>
      <c r="I30" s="435" t="e">
        <f t="shared" si="0"/>
        <v>#DIV/0!</v>
      </c>
      <c r="J30" s="105"/>
      <c r="K30" s="437" t="e">
        <f>F30*'6-Opbouw uurtarief productie'!$E$47</f>
        <v>#DIV/0!</v>
      </c>
      <c r="L30" s="437" t="e">
        <f>G30*'6-Opbouw uurtarief productie'!$E$47</f>
        <v>#DIV/0!</v>
      </c>
      <c r="M30" s="437" t="e">
        <f t="shared" si="1"/>
        <v>#DIV/0!</v>
      </c>
      <c r="N30" s="437" t="e">
        <f>I30*'7-Opbouw uurtarief toezicht'!$E$47</f>
        <v>#DIV/0!</v>
      </c>
      <c r="O30" s="437">
        <f>VLOOKUP(A30,'9b-Vloeronderhoud'!$A$14:$K$60,4,FALSE)</f>
        <v>0</v>
      </c>
      <c r="P30" s="437" t="e">
        <f>VLOOKUP(A30,'9b-Vloeronderhoud'!$A$14:$K$60,8,FALSE)</f>
        <v>#DIV/0!</v>
      </c>
      <c r="Q30" s="437" t="e">
        <f>VLOOKUP(A30,'9b-Vloeronderhoud'!$A$14:$K$60,11,FALSE)</f>
        <v>#DIV/0!</v>
      </c>
      <c r="R30" s="437" t="e">
        <f>VLOOKUP(A30,'9b-Vloeronderhoud'!$A$14:$R$60,18,FALSE)</f>
        <v>#DIV/0!</v>
      </c>
      <c r="S30" s="489">
        <f>SUMIF('8-Additionele werkzaamheden'!A:A,A30,'8-Additionele werkzaamheden'!G:G)</f>
        <v>0</v>
      </c>
      <c r="T30" s="489">
        <f>SUMIF('10-Glasbewassing'!A:A,A30,'10-Glasbewassing'!G:G)</f>
        <v>0</v>
      </c>
      <c r="U30" s="437" t="e">
        <f t="shared" si="2"/>
        <v>#DIV/0!</v>
      </c>
      <c r="V30" s="437" t="e">
        <f t="shared" si="3"/>
        <v>#DIV/0!</v>
      </c>
      <c r="X30" s="641" t="e">
        <f t="shared" si="4"/>
        <v>#DIV/0!</v>
      </c>
      <c r="Y30" s="437" t="e">
        <f t="shared" si="5"/>
        <v>#DIV/0!</v>
      </c>
    </row>
    <row r="31" spans="1:25" ht="15" customHeight="1">
      <c r="A31" s="485" t="s">
        <v>240</v>
      </c>
      <c r="B31" s="160" t="s">
        <v>902</v>
      </c>
      <c r="C31" s="160" t="s">
        <v>901</v>
      </c>
      <c r="D31" s="434">
        <f>SUMIF('4-Basis ruimtestaat'!B:B,A31,'4-Basis ruimtestaat'!J:J)</f>
        <v>1353.6999999999996</v>
      </c>
      <c r="E31" s="434" cm="1">
        <f t="array" ref="E31">MAX(IF('4-Basis ruimtestaat'!B:B=A31,'4-Basis ruimtestaat'!S:S))</f>
        <v>190</v>
      </c>
      <c r="F31" s="434" t="e">
        <f>SUMIF('4-Basis ruimtestaat'!B:B,A31,'4-Basis ruimtestaat'!T:T)</f>
        <v>#DIV/0!</v>
      </c>
      <c r="G31" s="435" t="e">
        <f>IF(F31&lt;E31*$G$8,E31*$G$8-F31,0)</f>
        <v>#DIV/0!</v>
      </c>
      <c r="H31" s="464"/>
      <c r="I31" s="435" t="e">
        <f t="shared" si="0"/>
        <v>#DIV/0!</v>
      </c>
      <c r="J31" s="105"/>
      <c r="K31" s="437" t="e">
        <f>F31*'6-Opbouw uurtarief productie'!$E$47</f>
        <v>#DIV/0!</v>
      </c>
      <c r="L31" s="437" t="e">
        <f>G31*'6-Opbouw uurtarief productie'!$E$47</f>
        <v>#DIV/0!</v>
      </c>
      <c r="M31" s="437" t="e">
        <f t="shared" si="1"/>
        <v>#DIV/0!</v>
      </c>
      <c r="N31" s="437" t="e">
        <f>I31*'7-Opbouw uurtarief toezicht'!$E$47</f>
        <v>#DIV/0!</v>
      </c>
      <c r="O31" s="437" t="e">
        <f>VLOOKUP(A31,'9b-Vloeronderhoud'!$A$14:$K$60,4,FALSE)</f>
        <v>#DIV/0!</v>
      </c>
      <c r="P31" s="437" t="e">
        <f>VLOOKUP(A31,'9b-Vloeronderhoud'!$A$14:$K$60,8,FALSE)</f>
        <v>#DIV/0!</v>
      </c>
      <c r="Q31" s="437" t="e">
        <f>VLOOKUP(A31,'9b-Vloeronderhoud'!$A$14:$K$60,11,FALSE)</f>
        <v>#DIV/0!</v>
      </c>
      <c r="R31" s="437" t="e">
        <f>VLOOKUP(A31,'9b-Vloeronderhoud'!$A$14:$R$60,18,FALSE)</f>
        <v>#DIV/0!</v>
      </c>
      <c r="S31" s="489">
        <f>SUMIF('8-Additionele werkzaamheden'!A:A,A31,'8-Additionele werkzaamheden'!G:G)</f>
        <v>0</v>
      </c>
      <c r="T31" s="489">
        <f>SUMIF('10-Glasbewassing'!A:A,A31,'10-Glasbewassing'!G:G)</f>
        <v>0</v>
      </c>
      <c r="U31" s="437" t="e">
        <f t="shared" si="2"/>
        <v>#DIV/0!</v>
      </c>
      <c r="V31" s="437" t="e">
        <f t="shared" si="3"/>
        <v>#DIV/0!</v>
      </c>
      <c r="X31" s="641" t="e">
        <f t="shared" si="4"/>
        <v>#DIV/0!</v>
      </c>
      <c r="Y31" s="437" t="e">
        <f t="shared" si="5"/>
        <v>#DIV/0!</v>
      </c>
    </row>
    <row r="32" spans="1:25" ht="15" customHeight="1">
      <c r="A32" s="485" t="s">
        <v>263</v>
      </c>
      <c r="B32" s="108" t="s">
        <v>909</v>
      </c>
      <c r="C32" s="160" t="s">
        <v>912</v>
      </c>
      <c r="D32" s="434">
        <f>SUMIF('4-Basis ruimtestaat'!B:B,A32,'4-Basis ruimtestaat'!J:J)</f>
        <v>758.00001227855682</v>
      </c>
      <c r="E32" s="434" cm="1">
        <f t="array" ref="E32">MAX(IF('4-Basis ruimtestaat'!B:B=A32,'4-Basis ruimtestaat'!S:S))</f>
        <v>190</v>
      </c>
      <c r="F32" s="434" t="e">
        <f>SUMIF('4-Basis ruimtestaat'!B:B,A32,'4-Basis ruimtestaat'!T:T)</f>
        <v>#DIV/0!</v>
      </c>
      <c r="G32" s="435" t="e">
        <f>IF(F32&lt;E32*$G$8,E32*$G$8-F32,0)</f>
        <v>#DIV/0!</v>
      </c>
      <c r="H32" s="464"/>
      <c r="I32" s="435" t="e">
        <f t="shared" si="0"/>
        <v>#DIV/0!</v>
      </c>
      <c r="J32" s="105"/>
      <c r="K32" s="437" t="e">
        <f>F32*'6-Opbouw uurtarief productie'!$E$47</f>
        <v>#DIV/0!</v>
      </c>
      <c r="L32" s="437" t="e">
        <f>G32*'6-Opbouw uurtarief productie'!$E$47</f>
        <v>#DIV/0!</v>
      </c>
      <c r="M32" s="437" t="e">
        <f t="shared" si="1"/>
        <v>#DIV/0!</v>
      </c>
      <c r="N32" s="437" t="e">
        <f>I32*'7-Opbouw uurtarief toezicht'!$E$47</f>
        <v>#DIV/0!</v>
      </c>
      <c r="O32" s="437" t="e">
        <f>VLOOKUP(A32,'9b-Vloeronderhoud'!$A$14:$K$60,4,FALSE)</f>
        <v>#DIV/0!</v>
      </c>
      <c r="P32" s="437" t="e">
        <f>VLOOKUP(A32,'9b-Vloeronderhoud'!$A$14:$K$60,8,FALSE)</f>
        <v>#DIV/0!</v>
      </c>
      <c r="Q32" s="437" t="e">
        <f>VLOOKUP(A32,'9b-Vloeronderhoud'!$A$14:$K$60,11,FALSE)</f>
        <v>#DIV/0!</v>
      </c>
      <c r="R32" s="437" t="e">
        <f>VLOOKUP(A32,'9b-Vloeronderhoud'!$A$14:$R$60,18,FALSE)</f>
        <v>#DIV/0!</v>
      </c>
      <c r="S32" s="489">
        <f>SUMIF('8-Additionele werkzaamheden'!A:A,A32,'8-Additionele werkzaamheden'!G:G)</f>
        <v>0</v>
      </c>
      <c r="T32" s="489">
        <f>SUMIF('10-Glasbewassing'!A:A,A32,'10-Glasbewassing'!G:G)</f>
        <v>0</v>
      </c>
      <c r="U32" s="437" t="e">
        <f t="shared" si="2"/>
        <v>#DIV/0!</v>
      </c>
      <c r="V32" s="437" t="e">
        <f t="shared" si="3"/>
        <v>#DIV/0!</v>
      </c>
      <c r="X32" s="641" t="e">
        <f t="shared" si="4"/>
        <v>#DIV/0!</v>
      </c>
      <c r="Y32" s="437" t="e">
        <f t="shared" si="5"/>
        <v>#DIV/0!</v>
      </c>
    </row>
    <row r="33" spans="1:25" ht="15" customHeight="1">
      <c r="A33" s="485" t="s">
        <v>264</v>
      </c>
      <c r="B33" s="108" t="s">
        <v>909</v>
      </c>
      <c r="C33" s="160" t="s">
        <v>912</v>
      </c>
      <c r="D33" s="434">
        <f>SUMIF('4-Basis ruimtestaat'!B:B,A33,'4-Basis ruimtestaat'!J:J)</f>
        <v>583.26999950408936</v>
      </c>
      <c r="E33" s="434" cm="1">
        <f t="array" ref="E33">MAX(IF('4-Basis ruimtestaat'!B:B=A33,'4-Basis ruimtestaat'!S:S))</f>
        <v>190</v>
      </c>
      <c r="F33" s="434" t="e">
        <f>SUMIF('4-Basis ruimtestaat'!B:B,A33,'4-Basis ruimtestaat'!T:T)</f>
        <v>#DIV/0!</v>
      </c>
      <c r="G33" s="435" t="e">
        <f>IF(F33&lt;E33*$G$8,E33*$G$8-F33,0)</f>
        <v>#DIV/0!</v>
      </c>
      <c r="H33" s="464"/>
      <c r="I33" s="435" t="e">
        <f t="shared" si="0"/>
        <v>#DIV/0!</v>
      </c>
      <c r="J33" s="105"/>
      <c r="K33" s="437" t="e">
        <f>F33*'6-Opbouw uurtarief productie'!$E$47</f>
        <v>#DIV/0!</v>
      </c>
      <c r="L33" s="437" t="e">
        <f>G33*'6-Opbouw uurtarief productie'!$E$47</f>
        <v>#DIV/0!</v>
      </c>
      <c r="M33" s="437" t="e">
        <f t="shared" si="1"/>
        <v>#DIV/0!</v>
      </c>
      <c r="N33" s="437" t="e">
        <f>I33*'7-Opbouw uurtarief toezicht'!$E$47</f>
        <v>#DIV/0!</v>
      </c>
      <c r="O33" s="437" t="e">
        <f>VLOOKUP(A33,'9b-Vloeronderhoud'!$A$14:$K$60,4,FALSE)</f>
        <v>#DIV/0!</v>
      </c>
      <c r="P33" s="437" t="e">
        <f>VLOOKUP(A33,'9b-Vloeronderhoud'!$A$14:$K$60,8,FALSE)</f>
        <v>#DIV/0!</v>
      </c>
      <c r="Q33" s="437" t="e">
        <f>VLOOKUP(A33,'9b-Vloeronderhoud'!$A$14:$K$60,11,FALSE)</f>
        <v>#DIV/0!</v>
      </c>
      <c r="R33" s="437" t="e">
        <f>VLOOKUP(A33,'9b-Vloeronderhoud'!$A$14:$R$60,18,FALSE)</f>
        <v>#DIV/0!</v>
      </c>
      <c r="S33" s="489">
        <f>SUMIF('8-Additionele werkzaamheden'!A:A,A33,'8-Additionele werkzaamheden'!G:G)</f>
        <v>0</v>
      </c>
      <c r="T33" s="489">
        <f>SUMIF('10-Glasbewassing'!A:A,A33,'10-Glasbewassing'!G:G)</f>
        <v>0</v>
      </c>
      <c r="U33" s="437" t="e">
        <f t="shared" si="2"/>
        <v>#DIV/0!</v>
      </c>
      <c r="V33" s="437" t="e">
        <f t="shared" si="3"/>
        <v>#DIV/0!</v>
      </c>
      <c r="X33" s="641" t="e">
        <f t="shared" si="4"/>
        <v>#DIV/0!</v>
      </c>
      <c r="Y33" s="437" t="e">
        <f t="shared" si="5"/>
        <v>#DIV/0!</v>
      </c>
    </row>
    <row r="34" spans="1:25" ht="15" customHeight="1">
      <c r="A34" s="485" t="s">
        <v>566</v>
      </c>
      <c r="B34" s="160" t="s">
        <v>894</v>
      </c>
      <c r="C34" s="160" t="s">
        <v>923</v>
      </c>
      <c r="D34" s="434">
        <f>SUMIF('4-Basis ruimtestaat'!B:B,A34,'4-Basis ruimtestaat'!J:J)</f>
        <v>1003.8700004768373</v>
      </c>
      <c r="E34" s="434" cm="1">
        <f t="array" ref="E34">MAX(IF('4-Basis ruimtestaat'!B:B=A34,'4-Basis ruimtestaat'!S:S))</f>
        <v>190</v>
      </c>
      <c r="F34" s="434" t="e">
        <f>SUMIF('4-Basis ruimtestaat'!B:B,A34,'4-Basis ruimtestaat'!T:T)</f>
        <v>#DIV/0!</v>
      </c>
      <c r="G34" s="435" t="e">
        <f>IF(F34&lt;E34*$G$8,E34*$G$8-F34,0)</f>
        <v>#DIV/0!</v>
      </c>
      <c r="H34" s="464"/>
      <c r="I34" s="435" t="e">
        <f t="shared" si="0"/>
        <v>#DIV/0!</v>
      </c>
      <c r="J34" s="105"/>
      <c r="K34" s="437" t="e">
        <f>F34*'6-Opbouw uurtarief productie'!$E$47</f>
        <v>#DIV/0!</v>
      </c>
      <c r="L34" s="437" t="e">
        <f>G34*'6-Opbouw uurtarief productie'!$E$47</f>
        <v>#DIV/0!</v>
      </c>
      <c r="M34" s="437" t="e">
        <f t="shared" si="1"/>
        <v>#DIV/0!</v>
      </c>
      <c r="N34" s="437" t="e">
        <f>I34*'7-Opbouw uurtarief toezicht'!$E$47</f>
        <v>#DIV/0!</v>
      </c>
      <c r="O34" s="437" t="e">
        <f>VLOOKUP(A34,'9b-Vloeronderhoud'!$A$14:$K$60,4,FALSE)</f>
        <v>#DIV/0!</v>
      </c>
      <c r="P34" s="437" t="e">
        <f>VLOOKUP(A34,'9b-Vloeronderhoud'!$A$14:$K$60,8,FALSE)</f>
        <v>#DIV/0!</v>
      </c>
      <c r="Q34" s="437" t="e">
        <f>VLOOKUP(A34,'9b-Vloeronderhoud'!$A$14:$K$60,11,FALSE)</f>
        <v>#DIV/0!</v>
      </c>
      <c r="R34" s="437" t="e">
        <f>VLOOKUP(A34,'9b-Vloeronderhoud'!$A$14:$R$60,18,FALSE)</f>
        <v>#DIV/0!</v>
      </c>
      <c r="S34" s="489">
        <f>SUMIF('8-Additionele werkzaamheden'!A:A,A34,'8-Additionele werkzaamheden'!G:G)</f>
        <v>0</v>
      </c>
      <c r="T34" s="489">
        <f>SUMIF('10-Glasbewassing'!A:A,A34,'10-Glasbewassing'!G:G)</f>
        <v>0</v>
      </c>
      <c r="U34" s="437" t="e">
        <f t="shared" si="2"/>
        <v>#DIV/0!</v>
      </c>
      <c r="V34" s="437" t="e">
        <f t="shared" si="3"/>
        <v>#DIV/0!</v>
      </c>
      <c r="X34" s="641" t="e">
        <f t="shared" si="4"/>
        <v>#DIV/0!</v>
      </c>
      <c r="Y34" s="437" t="e">
        <f t="shared" si="5"/>
        <v>#DIV/0!</v>
      </c>
    </row>
    <row r="35" spans="1:25" ht="15" customHeight="1">
      <c r="A35" s="485" t="s">
        <v>1100</v>
      </c>
      <c r="B35" s="160" t="s">
        <v>894</v>
      </c>
      <c r="C35" s="160" t="s">
        <v>923</v>
      </c>
      <c r="D35" s="434">
        <f>SUMIF('4-Basis ruimtestaat'!B:B,A35,'4-Basis ruimtestaat'!J:J)</f>
        <v>359.79999999999995</v>
      </c>
      <c r="E35" s="434" cm="1">
        <f t="array" ref="E35">MAX(IF('4-Basis ruimtestaat'!B:B=A35,'4-Basis ruimtestaat'!S:S))</f>
        <v>190</v>
      </c>
      <c r="F35" s="434" t="e">
        <f>SUMIF('4-Basis ruimtestaat'!B:B,A35,'4-Basis ruimtestaat'!T:T)</f>
        <v>#DIV/0!</v>
      </c>
      <c r="G35" s="670"/>
      <c r="H35" s="464"/>
      <c r="I35" s="435" t="e">
        <f t="shared" si="0"/>
        <v>#DIV/0!</v>
      </c>
      <c r="J35" s="105"/>
      <c r="K35" s="437" t="e">
        <f>F35*'6-Opbouw uurtarief productie'!$E$47</f>
        <v>#DIV/0!</v>
      </c>
      <c r="L35" s="437" t="e">
        <f>G35*'6-Opbouw uurtarief productie'!$E$47</f>
        <v>#DIV/0!</v>
      </c>
      <c r="M35" s="437" t="e">
        <f t="shared" ref="M35" si="7">K35+L35</f>
        <v>#DIV/0!</v>
      </c>
      <c r="N35" s="437" t="e">
        <f>I35*'7-Opbouw uurtarief toezicht'!$E$47</f>
        <v>#DIV/0!</v>
      </c>
      <c r="O35" s="437">
        <f>VLOOKUP(A35,'9b-Vloeronderhoud'!$A$14:$K$60,4,FALSE)</f>
        <v>0</v>
      </c>
      <c r="P35" s="437" t="e">
        <f>VLOOKUP(A35,'9b-Vloeronderhoud'!$A$14:$K$60,8,FALSE)</f>
        <v>#DIV/0!</v>
      </c>
      <c r="Q35" s="437" t="e">
        <f>VLOOKUP(A35,'9b-Vloeronderhoud'!$A$14:$K$60,11,FALSE)</f>
        <v>#DIV/0!</v>
      </c>
      <c r="R35" s="437" t="e">
        <f>VLOOKUP(A35,'9b-Vloeronderhoud'!$A$14:$R$60,18,FALSE)</f>
        <v>#DIV/0!</v>
      </c>
      <c r="S35" s="489">
        <f>SUMIF('8-Additionele werkzaamheden'!A:A,A35,'8-Additionele werkzaamheden'!G:G)</f>
        <v>0</v>
      </c>
      <c r="T35" s="489">
        <f>SUMIF('10-Glasbewassing'!A:A,A35,'10-Glasbewassing'!G:G)</f>
        <v>0</v>
      </c>
      <c r="U35" s="437" t="e">
        <f t="shared" ref="U35" si="8">SUM(M35:T35)</f>
        <v>#DIV/0!</v>
      </c>
      <c r="V35" s="437" t="e">
        <f t="shared" ref="V35" si="9">U35/12</f>
        <v>#DIV/0!</v>
      </c>
      <c r="X35" s="641" t="e">
        <f t="shared" si="4"/>
        <v>#DIV/0!</v>
      </c>
      <c r="Y35" s="437" t="e">
        <f t="shared" si="5"/>
        <v>#DIV/0!</v>
      </c>
    </row>
    <row r="36" spans="1:25" ht="15" customHeight="1">
      <c r="A36" s="485" t="s">
        <v>251</v>
      </c>
      <c r="B36" s="108" t="s">
        <v>909</v>
      </c>
      <c r="C36" s="160" t="s">
        <v>913</v>
      </c>
      <c r="D36" s="434">
        <f>SUMIF('4-Basis ruimtestaat'!B:B,A36,'4-Basis ruimtestaat'!J:J)</f>
        <v>851.59999597072601</v>
      </c>
      <c r="E36" s="434" cm="1">
        <f t="array" ref="E36">MAX(IF('4-Basis ruimtestaat'!B:B=A36,'4-Basis ruimtestaat'!S:S))</f>
        <v>190</v>
      </c>
      <c r="F36" s="434" t="e">
        <f>SUMIF('4-Basis ruimtestaat'!B:B,A36,'4-Basis ruimtestaat'!T:T)</f>
        <v>#DIV/0!</v>
      </c>
      <c r="G36" s="435" t="e">
        <f t="shared" ref="G36:G56" si="10">IF(F36&lt;E36*$G$8,E36*$G$8-F36,0)</f>
        <v>#DIV/0!</v>
      </c>
      <c r="H36" s="464"/>
      <c r="I36" s="435" t="e">
        <f t="shared" si="0"/>
        <v>#DIV/0!</v>
      </c>
      <c r="J36" s="105"/>
      <c r="K36" s="437" t="e">
        <f>F36*'6-Opbouw uurtarief productie'!$E$47</f>
        <v>#DIV/0!</v>
      </c>
      <c r="L36" s="437" t="e">
        <f>G36*'6-Opbouw uurtarief productie'!$E$47</f>
        <v>#DIV/0!</v>
      </c>
      <c r="M36" s="437" t="e">
        <f t="shared" si="1"/>
        <v>#DIV/0!</v>
      </c>
      <c r="N36" s="437" t="e">
        <f>I36*'7-Opbouw uurtarief toezicht'!$E$47</f>
        <v>#DIV/0!</v>
      </c>
      <c r="O36" s="437" t="e">
        <f>VLOOKUP(A36,'9b-Vloeronderhoud'!$A$14:$K$60,4,FALSE)</f>
        <v>#DIV/0!</v>
      </c>
      <c r="P36" s="437" t="e">
        <f>VLOOKUP(A36,'9b-Vloeronderhoud'!$A$14:$K$60,8,FALSE)</f>
        <v>#DIV/0!</v>
      </c>
      <c r="Q36" s="437" t="e">
        <f>VLOOKUP(A36,'9b-Vloeronderhoud'!$A$14:$K$60,11,FALSE)</f>
        <v>#DIV/0!</v>
      </c>
      <c r="R36" s="437" t="e">
        <f>VLOOKUP(A36,'9b-Vloeronderhoud'!$A$14:$R$60,18,FALSE)</f>
        <v>#DIV/0!</v>
      </c>
      <c r="S36" s="489">
        <f>SUMIF('8-Additionele werkzaamheden'!A:A,A36,'8-Additionele werkzaamheden'!G:G)</f>
        <v>0</v>
      </c>
      <c r="T36" s="489">
        <f>SUMIF('10-Glasbewassing'!A:A,A36,'10-Glasbewassing'!G:G)</f>
        <v>0</v>
      </c>
      <c r="U36" s="437" t="e">
        <f t="shared" si="2"/>
        <v>#DIV/0!</v>
      </c>
      <c r="V36" s="437" t="e">
        <f t="shared" si="3"/>
        <v>#DIV/0!</v>
      </c>
      <c r="X36" s="641" t="e">
        <f t="shared" si="4"/>
        <v>#DIV/0!</v>
      </c>
      <c r="Y36" s="437" t="e">
        <f t="shared" si="5"/>
        <v>#DIV/0!</v>
      </c>
    </row>
    <row r="37" spans="1:25" ht="15" customHeight="1">
      <c r="A37" s="485" t="s">
        <v>257</v>
      </c>
      <c r="B37" s="108" t="s">
        <v>909</v>
      </c>
      <c r="C37" s="160" t="s">
        <v>914</v>
      </c>
      <c r="D37" s="434">
        <f>SUMIF('4-Basis ruimtestaat'!B:B,A37,'4-Basis ruimtestaat'!J:J)</f>
        <v>1269.7299999999998</v>
      </c>
      <c r="E37" s="434" cm="1">
        <f t="array" ref="E37">MAX(IF('4-Basis ruimtestaat'!B:B=A37,'4-Basis ruimtestaat'!S:S))</f>
        <v>190</v>
      </c>
      <c r="F37" s="434" t="e">
        <f>SUMIF('4-Basis ruimtestaat'!B:B,A37,'4-Basis ruimtestaat'!T:T)</f>
        <v>#DIV/0!</v>
      </c>
      <c r="G37" s="435" t="e">
        <f t="shared" si="10"/>
        <v>#DIV/0!</v>
      </c>
      <c r="H37" s="464"/>
      <c r="I37" s="435" t="e">
        <f t="shared" si="0"/>
        <v>#DIV/0!</v>
      </c>
      <c r="J37" s="105"/>
      <c r="K37" s="437" t="e">
        <f>F37*'6-Opbouw uurtarief productie'!$E$47</f>
        <v>#DIV/0!</v>
      </c>
      <c r="L37" s="437" t="e">
        <f>G37*'6-Opbouw uurtarief productie'!$E$47</f>
        <v>#DIV/0!</v>
      </c>
      <c r="M37" s="437" t="e">
        <f t="shared" si="1"/>
        <v>#DIV/0!</v>
      </c>
      <c r="N37" s="437" t="e">
        <f>I37*'7-Opbouw uurtarief toezicht'!$E$47</f>
        <v>#DIV/0!</v>
      </c>
      <c r="O37" s="437">
        <f>VLOOKUP(A37,'9b-Vloeronderhoud'!$A$14:$K$60,4,FALSE)</f>
        <v>0</v>
      </c>
      <c r="P37" s="437" t="e">
        <f>VLOOKUP(A37,'9b-Vloeronderhoud'!$A$14:$K$60,8,FALSE)</f>
        <v>#DIV/0!</v>
      </c>
      <c r="Q37" s="437" t="e">
        <f>VLOOKUP(A37,'9b-Vloeronderhoud'!$A$14:$K$60,11,FALSE)</f>
        <v>#DIV/0!</v>
      </c>
      <c r="R37" s="437" t="e">
        <f>VLOOKUP(A37,'9b-Vloeronderhoud'!$A$14:$R$60,18,FALSE)</f>
        <v>#DIV/0!</v>
      </c>
      <c r="S37" s="489">
        <f>SUMIF('8-Additionele werkzaamheden'!A:A,A37,'8-Additionele werkzaamheden'!G:G)</f>
        <v>0</v>
      </c>
      <c r="T37" s="489">
        <f>SUMIF('10-Glasbewassing'!A:A,A37,'10-Glasbewassing'!G:G)</f>
        <v>0</v>
      </c>
      <c r="U37" s="437" t="e">
        <f t="shared" si="2"/>
        <v>#DIV/0!</v>
      </c>
      <c r="V37" s="437" t="e">
        <f t="shared" si="3"/>
        <v>#DIV/0!</v>
      </c>
      <c r="X37" s="641" t="e">
        <f t="shared" si="4"/>
        <v>#DIV/0!</v>
      </c>
      <c r="Y37" s="437" t="e">
        <f t="shared" si="5"/>
        <v>#DIV/0!</v>
      </c>
    </row>
    <row r="38" spans="1:25" ht="15" customHeight="1">
      <c r="A38" s="485" t="s">
        <v>278</v>
      </c>
      <c r="B38" s="108" t="s">
        <v>909</v>
      </c>
      <c r="C38" s="516" t="s">
        <v>914</v>
      </c>
      <c r="D38" s="434">
        <f>SUMIF('4-Basis ruimtestaat'!B:B,A38,'4-Basis ruimtestaat'!J:J)</f>
        <v>288.2</v>
      </c>
      <c r="E38" s="434" cm="1">
        <f t="array" ref="E38">MAX(IF('4-Basis ruimtestaat'!B:B=A38,'4-Basis ruimtestaat'!S:S))</f>
        <v>80</v>
      </c>
      <c r="F38" s="434" t="e">
        <f>SUMIF('4-Basis ruimtestaat'!B:B,A38,'4-Basis ruimtestaat'!T:T)</f>
        <v>#DIV/0!</v>
      </c>
      <c r="G38" s="435" t="e">
        <f t="shared" si="10"/>
        <v>#DIV/0!</v>
      </c>
      <c r="H38" s="464"/>
      <c r="I38" s="435" t="e">
        <f t="shared" si="0"/>
        <v>#DIV/0!</v>
      </c>
      <c r="J38" s="105"/>
      <c r="K38" s="437" t="e">
        <f>F38*'6-Opbouw uurtarief productie'!$E$47</f>
        <v>#DIV/0!</v>
      </c>
      <c r="L38" s="437" t="e">
        <f>G38*'6-Opbouw uurtarief productie'!$E$47</f>
        <v>#DIV/0!</v>
      </c>
      <c r="M38" s="437" t="e">
        <f t="shared" si="1"/>
        <v>#DIV/0!</v>
      </c>
      <c r="N38" s="437" t="e">
        <f>I38*'7-Opbouw uurtarief toezicht'!$E$47</f>
        <v>#DIV/0!</v>
      </c>
      <c r="O38" s="437">
        <f>VLOOKUP(A38,'9b-Vloeronderhoud'!$A$14:$K$60,4,FALSE)</f>
        <v>0</v>
      </c>
      <c r="P38" s="437" t="e">
        <f>VLOOKUP(A38,'9b-Vloeronderhoud'!$A$14:$K$60,8,FALSE)</f>
        <v>#DIV/0!</v>
      </c>
      <c r="Q38" s="437" t="e">
        <f>VLOOKUP(A38,'9b-Vloeronderhoud'!$A$14:$K$60,11,FALSE)</f>
        <v>#DIV/0!</v>
      </c>
      <c r="R38" s="437" t="e">
        <f>VLOOKUP(A38,'9b-Vloeronderhoud'!$A$14:$R$60,18,FALSE)</f>
        <v>#DIV/0!</v>
      </c>
      <c r="S38" s="489">
        <f>SUMIF('8-Additionele werkzaamheden'!A:A,A38,'8-Additionele werkzaamheden'!G:G)</f>
        <v>0</v>
      </c>
      <c r="T38" s="489">
        <f>SUMIF('10-Glasbewassing'!A:A,A38,'10-Glasbewassing'!G:G)</f>
        <v>0</v>
      </c>
      <c r="U38" s="437" t="e">
        <f t="shared" si="2"/>
        <v>#DIV/0!</v>
      </c>
      <c r="V38" s="437" t="e">
        <f t="shared" si="3"/>
        <v>#DIV/0!</v>
      </c>
      <c r="X38" s="641" t="e">
        <f t="shared" si="4"/>
        <v>#DIV/0!</v>
      </c>
      <c r="Y38" s="437" t="e">
        <f t="shared" si="5"/>
        <v>#DIV/0!</v>
      </c>
    </row>
    <row r="39" spans="1:25" ht="15" customHeight="1">
      <c r="A39" s="485" t="s">
        <v>232</v>
      </c>
      <c r="B39" s="160" t="s">
        <v>886</v>
      </c>
      <c r="C39" s="516" t="s">
        <v>892</v>
      </c>
      <c r="D39" s="434">
        <f>SUMIF('4-Basis ruimtestaat'!B:B,A39,'4-Basis ruimtestaat'!J:J)</f>
        <v>907.50000000000023</v>
      </c>
      <c r="E39" s="434" cm="1">
        <f t="array" ref="E39">MAX(IF('4-Basis ruimtestaat'!B:B=A39,'4-Basis ruimtestaat'!S:S))</f>
        <v>190</v>
      </c>
      <c r="F39" s="434" t="e">
        <f>SUMIF('4-Basis ruimtestaat'!B:B,A39,'4-Basis ruimtestaat'!T:T)</f>
        <v>#DIV/0!</v>
      </c>
      <c r="G39" s="435" t="e">
        <f t="shared" si="10"/>
        <v>#DIV/0!</v>
      </c>
      <c r="H39" s="464"/>
      <c r="I39" s="435" t="e">
        <f t="shared" si="0"/>
        <v>#DIV/0!</v>
      </c>
      <c r="J39" s="105"/>
      <c r="K39" s="437" t="e">
        <f>F39*'6-Opbouw uurtarief productie'!$E$47</f>
        <v>#DIV/0!</v>
      </c>
      <c r="L39" s="437" t="e">
        <f>G39*'6-Opbouw uurtarief productie'!$E$47</f>
        <v>#DIV/0!</v>
      </c>
      <c r="M39" s="437" t="e">
        <f t="shared" si="1"/>
        <v>#DIV/0!</v>
      </c>
      <c r="N39" s="437" t="e">
        <f>I39*'7-Opbouw uurtarief toezicht'!$E$47</f>
        <v>#DIV/0!</v>
      </c>
      <c r="O39" s="437">
        <f>VLOOKUP(A39,'9b-Vloeronderhoud'!$A$14:$K$60,4,FALSE)</f>
        <v>0</v>
      </c>
      <c r="P39" s="437" t="e">
        <f>VLOOKUP(A39,'9b-Vloeronderhoud'!$A$14:$K$60,8,FALSE)</f>
        <v>#DIV/0!</v>
      </c>
      <c r="Q39" s="437" t="e">
        <f>VLOOKUP(A39,'9b-Vloeronderhoud'!$A$14:$K$60,11,FALSE)</f>
        <v>#DIV/0!</v>
      </c>
      <c r="R39" s="437" t="e">
        <f>VLOOKUP(A39,'9b-Vloeronderhoud'!$A$14:$R$60,18,FALSE)</f>
        <v>#DIV/0!</v>
      </c>
      <c r="S39" s="489">
        <f>SUMIF('8-Additionele werkzaamheden'!A:A,A39,'8-Additionele werkzaamheden'!G:G)</f>
        <v>0</v>
      </c>
      <c r="T39" s="489">
        <f>SUMIF('10-Glasbewassing'!A:A,A39,'10-Glasbewassing'!G:G)</f>
        <v>0</v>
      </c>
      <c r="U39" s="437" t="e">
        <f t="shared" si="2"/>
        <v>#DIV/0!</v>
      </c>
      <c r="V39" s="437" t="e">
        <f t="shared" si="3"/>
        <v>#DIV/0!</v>
      </c>
      <c r="X39" s="641" t="e">
        <f t="shared" si="4"/>
        <v>#DIV/0!</v>
      </c>
      <c r="Y39" s="437" t="e">
        <f t="shared" si="5"/>
        <v>#DIV/0!</v>
      </c>
    </row>
    <row r="40" spans="1:25" ht="15" customHeight="1">
      <c r="A40" s="303" t="s">
        <v>980</v>
      </c>
      <c r="B40" s="108" t="s">
        <v>886</v>
      </c>
      <c r="C40" s="516" t="s">
        <v>890</v>
      </c>
      <c r="D40" s="434">
        <f>SUMIF('4-Basis ruimtestaat'!B:B,A40,'4-Basis ruimtestaat'!J:J)</f>
        <v>2322.6899999999996</v>
      </c>
      <c r="E40" s="434" cm="1">
        <f t="array" ref="E40">MAX(IF('4-Basis ruimtestaat'!B:B=A40,'4-Basis ruimtestaat'!S:S))</f>
        <v>190</v>
      </c>
      <c r="F40" s="434" t="e">
        <f>SUMIF('4-Basis ruimtestaat'!B:B,A40,'4-Basis ruimtestaat'!T:T)</f>
        <v>#DIV/0!</v>
      </c>
      <c r="G40" s="435" t="e">
        <f t="shared" si="10"/>
        <v>#DIV/0!</v>
      </c>
      <c r="H40" s="464"/>
      <c r="I40" s="435" t="e">
        <f t="shared" si="0"/>
        <v>#DIV/0!</v>
      </c>
      <c r="J40" s="105"/>
      <c r="K40" s="437" t="e">
        <f>F40*'6-Opbouw uurtarief productie'!$E$47</f>
        <v>#DIV/0!</v>
      </c>
      <c r="L40" s="437" t="e">
        <f>G40*'6-Opbouw uurtarief productie'!$E$47</f>
        <v>#DIV/0!</v>
      </c>
      <c r="M40" s="437" t="e">
        <f>K40+L40</f>
        <v>#DIV/0!</v>
      </c>
      <c r="N40" s="437" t="e">
        <f>I40*'7-Opbouw uurtarief toezicht'!$E$47</f>
        <v>#DIV/0!</v>
      </c>
      <c r="O40" s="437">
        <f>VLOOKUP(A40,'9b-Vloeronderhoud'!$A$14:$K$60,4,FALSE)</f>
        <v>0</v>
      </c>
      <c r="P40" s="437" t="e">
        <f>VLOOKUP(A40,'9b-Vloeronderhoud'!$A$14:$K$60,8,FALSE)</f>
        <v>#DIV/0!</v>
      </c>
      <c r="Q40" s="437" t="e">
        <f>VLOOKUP(A40,'9b-Vloeronderhoud'!$A$14:$K$60,11,FALSE)</f>
        <v>#DIV/0!</v>
      </c>
      <c r="R40" s="437" t="e">
        <f>VLOOKUP(A40,'9b-Vloeronderhoud'!$A$14:$R$60,18,FALSE)</f>
        <v>#DIV/0!</v>
      </c>
      <c r="S40" s="489">
        <f>SUMIF('8-Additionele werkzaamheden'!A:A,A40,'8-Additionele werkzaamheden'!G:G)</f>
        <v>0</v>
      </c>
      <c r="T40" s="489">
        <f>SUMIF('10-Glasbewassing'!A:A,A40,'10-Glasbewassing'!G:G)</f>
        <v>0</v>
      </c>
      <c r="U40" s="437" t="e">
        <f>SUM(M40:T40)</f>
        <v>#DIV/0!</v>
      </c>
      <c r="V40" s="437" t="e">
        <f>U40/12</f>
        <v>#DIV/0!</v>
      </c>
      <c r="X40" s="641" t="e">
        <f t="shared" si="4"/>
        <v>#DIV/0!</v>
      </c>
      <c r="Y40" s="437" t="e">
        <f>X40/12</f>
        <v>#DIV/0!</v>
      </c>
    </row>
    <row r="41" spans="1:25" ht="15" customHeight="1">
      <c r="A41" s="485" t="s">
        <v>254</v>
      </c>
      <c r="B41" s="108" t="s">
        <v>909</v>
      </c>
      <c r="C41" s="516" t="s">
        <v>915</v>
      </c>
      <c r="D41" s="434">
        <f>SUMIF('4-Basis ruimtestaat'!B:B,A41,'4-Basis ruimtestaat'!J:J)</f>
        <v>1320.3</v>
      </c>
      <c r="E41" s="434" cm="1">
        <f t="array" ref="E41">MAX(IF('4-Basis ruimtestaat'!B:B=A41,'4-Basis ruimtestaat'!S:S))</f>
        <v>190</v>
      </c>
      <c r="F41" s="434" t="e">
        <f>SUMIF('4-Basis ruimtestaat'!B:B,A41,'4-Basis ruimtestaat'!T:T)</f>
        <v>#DIV/0!</v>
      </c>
      <c r="G41" s="435" t="e">
        <f t="shared" si="10"/>
        <v>#DIV/0!</v>
      </c>
      <c r="H41" s="464"/>
      <c r="I41" s="435" t="e">
        <f t="shared" si="0"/>
        <v>#DIV/0!</v>
      </c>
      <c r="J41" s="105"/>
      <c r="K41" s="437" t="e">
        <f>F41*'6-Opbouw uurtarief productie'!$E$47</f>
        <v>#DIV/0!</v>
      </c>
      <c r="L41" s="437" t="e">
        <f>G41*'6-Opbouw uurtarief productie'!$E$47</f>
        <v>#DIV/0!</v>
      </c>
      <c r="M41" s="437" t="e">
        <f t="shared" si="1"/>
        <v>#DIV/0!</v>
      </c>
      <c r="N41" s="437" t="e">
        <f>I41*'7-Opbouw uurtarief toezicht'!$E$47</f>
        <v>#DIV/0!</v>
      </c>
      <c r="O41" s="437" t="e">
        <f>VLOOKUP(A41,'9b-Vloeronderhoud'!$A$14:$K$60,4,FALSE)</f>
        <v>#DIV/0!</v>
      </c>
      <c r="P41" s="437" t="e">
        <f>VLOOKUP(A41,'9b-Vloeronderhoud'!$A$14:$K$60,8,FALSE)</f>
        <v>#DIV/0!</v>
      </c>
      <c r="Q41" s="437" t="e">
        <f>VLOOKUP(A41,'9b-Vloeronderhoud'!$A$14:$K$60,11,FALSE)</f>
        <v>#DIV/0!</v>
      </c>
      <c r="R41" s="437" t="e">
        <f>VLOOKUP(A41,'9b-Vloeronderhoud'!$A$14:$R$60,18,FALSE)</f>
        <v>#DIV/0!</v>
      </c>
      <c r="S41" s="489">
        <f>SUMIF('8-Additionele werkzaamheden'!A:A,A41,'8-Additionele werkzaamheden'!G:G)</f>
        <v>0</v>
      </c>
      <c r="T41" s="489">
        <f>SUMIF('10-Glasbewassing'!A:A,A41,'10-Glasbewassing'!G:G)</f>
        <v>0</v>
      </c>
      <c r="U41" s="437" t="e">
        <f t="shared" si="2"/>
        <v>#DIV/0!</v>
      </c>
      <c r="V41" s="437" t="e">
        <f t="shared" si="3"/>
        <v>#DIV/0!</v>
      </c>
      <c r="X41" s="641" t="e">
        <f t="shared" si="4"/>
        <v>#DIV/0!</v>
      </c>
      <c r="Y41" s="437" t="e">
        <f t="shared" si="5"/>
        <v>#DIV/0!</v>
      </c>
    </row>
    <row r="42" spans="1:25" ht="15" customHeight="1">
      <c r="A42" s="485" t="s">
        <v>253</v>
      </c>
      <c r="B42" s="108" t="s">
        <v>909</v>
      </c>
      <c r="C42" s="516" t="s">
        <v>916</v>
      </c>
      <c r="D42" s="434">
        <f>SUMIF('4-Basis ruimtestaat'!B:B,A42,'4-Basis ruimtestaat'!J:J)</f>
        <v>1253.3</v>
      </c>
      <c r="E42" s="434" cm="1">
        <f t="array" ref="E42">MAX(IF('4-Basis ruimtestaat'!B:B=A42,'4-Basis ruimtestaat'!S:S))</f>
        <v>190</v>
      </c>
      <c r="F42" s="434" t="e">
        <f>SUMIF('4-Basis ruimtestaat'!B:B,A42,'4-Basis ruimtestaat'!T:T)</f>
        <v>#DIV/0!</v>
      </c>
      <c r="G42" s="435" t="e">
        <f t="shared" si="10"/>
        <v>#DIV/0!</v>
      </c>
      <c r="H42" s="464"/>
      <c r="I42" s="435" t="e">
        <f t="shared" si="0"/>
        <v>#DIV/0!</v>
      </c>
      <c r="J42" s="105"/>
      <c r="K42" s="437" t="e">
        <f>F42*'6-Opbouw uurtarief productie'!$E$47</f>
        <v>#DIV/0!</v>
      </c>
      <c r="L42" s="437" t="e">
        <f>G42*'6-Opbouw uurtarief productie'!$E$47</f>
        <v>#DIV/0!</v>
      </c>
      <c r="M42" s="437" t="e">
        <f t="shared" si="1"/>
        <v>#DIV/0!</v>
      </c>
      <c r="N42" s="437" t="e">
        <f>I42*'7-Opbouw uurtarief toezicht'!$E$47</f>
        <v>#DIV/0!</v>
      </c>
      <c r="O42" s="437" t="e">
        <f>VLOOKUP(A42,'9b-Vloeronderhoud'!$A$14:$K$60,4,FALSE)</f>
        <v>#DIV/0!</v>
      </c>
      <c r="P42" s="437" t="e">
        <f>VLOOKUP(A42,'9b-Vloeronderhoud'!$A$14:$K$60,8,FALSE)</f>
        <v>#DIV/0!</v>
      </c>
      <c r="Q42" s="437" t="e">
        <f>VLOOKUP(A42,'9b-Vloeronderhoud'!$A$14:$K$60,11,FALSE)</f>
        <v>#DIV/0!</v>
      </c>
      <c r="R42" s="437" t="e">
        <f>VLOOKUP(A42,'9b-Vloeronderhoud'!$A$14:$R$60,18,FALSE)</f>
        <v>#DIV/0!</v>
      </c>
      <c r="S42" s="489">
        <f>SUMIF('8-Additionele werkzaamheden'!A:A,A42,'8-Additionele werkzaamheden'!G:G)</f>
        <v>0</v>
      </c>
      <c r="T42" s="489">
        <f>SUMIF('10-Glasbewassing'!A:A,A42,'10-Glasbewassing'!G:G)</f>
        <v>0</v>
      </c>
      <c r="U42" s="437" t="e">
        <f t="shared" si="2"/>
        <v>#DIV/0!</v>
      </c>
      <c r="V42" s="437" t="e">
        <f t="shared" si="3"/>
        <v>#DIV/0!</v>
      </c>
      <c r="X42" s="641" t="e">
        <f t="shared" si="4"/>
        <v>#DIV/0!</v>
      </c>
      <c r="Y42" s="437" t="e">
        <f t="shared" si="5"/>
        <v>#DIV/0!</v>
      </c>
    </row>
    <row r="43" spans="1:25" ht="15" customHeight="1">
      <c r="A43" s="485" t="s">
        <v>230</v>
      </c>
      <c r="B43" s="160" t="s">
        <v>886</v>
      </c>
      <c r="C43" s="516" t="s">
        <v>890</v>
      </c>
      <c r="D43" s="434">
        <f>SUMIF('4-Basis ruimtestaat'!B:B,A43,'4-Basis ruimtestaat'!J:J)</f>
        <v>979.42</v>
      </c>
      <c r="E43" s="434" cm="1">
        <f t="array" ref="E43">MAX(IF('4-Basis ruimtestaat'!B:B=A43,'4-Basis ruimtestaat'!S:S))</f>
        <v>190</v>
      </c>
      <c r="F43" s="434" t="e">
        <f>SUMIF('4-Basis ruimtestaat'!B:B,A43,'4-Basis ruimtestaat'!T:T)</f>
        <v>#DIV/0!</v>
      </c>
      <c r="G43" s="435" t="e">
        <f t="shared" si="10"/>
        <v>#DIV/0!</v>
      </c>
      <c r="H43" s="464"/>
      <c r="I43" s="435" t="e">
        <f t="shared" si="0"/>
        <v>#DIV/0!</v>
      </c>
      <c r="J43" s="105"/>
      <c r="K43" s="437" t="e">
        <f>F43*'6-Opbouw uurtarief productie'!$E$47</f>
        <v>#DIV/0!</v>
      </c>
      <c r="L43" s="437" t="e">
        <f>G43*'6-Opbouw uurtarief productie'!$E$47</f>
        <v>#DIV/0!</v>
      </c>
      <c r="M43" s="437" t="e">
        <f t="shared" si="1"/>
        <v>#DIV/0!</v>
      </c>
      <c r="N43" s="437" t="e">
        <f>I43*'7-Opbouw uurtarief toezicht'!$E$47</f>
        <v>#DIV/0!</v>
      </c>
      <c r="O43" s="437">
        <f>VLOOKUP(A43,'9b-Vloeronderhoud'!$A$14:$K$60,4,FALSE)</f>
        <v>0</v>
      </c>
      <c r="P43" s="437" t="e">
        <f>VLOOKUP(A43,'9b-Vloeronderhoud'!$A$14:$K$60,8,FALSE)</f>
        <v>#DIV/0!</v>
      </c>
      <c r="Q43" s="437" t="e">
        <f>VLOOKUP(A43,'9b-Vloeronderhoud'!$A$14:$K$60,11,FALSE)</f>
        <v>#DIV/0!</v>
      </c>
      <c r="R43" s="437" t="e">
        <f>VLOOKUP(A43,'9b-Vloeronderhoud'!$A$14:$R$60,18,FALSE)</f>
        <v>#DIV/0!</v>
      </c>
      <c r="S43" s="489">
        <f>SUMIF('8-Additionele werkzaamheden'!A:A,A43,'8-Additionele werkzaamheden'!G:G)</f>
        <v>0</v>
      </c>
      <c r="T43" s="489">
        <f>SUMIF('10-Glasbewassing'!A:A,A43,'10-Glasbewassing'!G:G)</f>
        <v>0</v>
      </c>
      <c r="U43" s="437" t="e">
        <f t="shared" si="2"/>
        <v>#DIV/0!</v>
      </c>
      <c r="V43" s="437" t="e">
        <f t="shared" si="3"/>
        <v>#DIV/0!</v>
      </c>
      <c r="X43" s="641" t="e">
        <f t="shared" si="4"/>
        <v>#DIV/0!</v>
      </c>
      <c r="Y43" s="437" t="e">
        <f t="shared" si="5"/>
        <v>#DIV/0!</v>
      </c>
    </row>
    <row r="44" spans="1:25" ht="15" customHeight="1">
      <c r="A44" s="485" t="s">
        <v>238</v>
      </c>
      <c r="B44" s="160" t="s">
        <v>894</v>
      </c>
      <c r="C44" s="516" t="s">
        <v>899</v>
      </c>
      <c r="D44" s="434">
        <f>SUMIF('4-Basis ruimtestaat'!B:B,A44,'4-Basis ruimtestaat'!J:J)</f>
        <v>2076.6000000000013</v>
      </c>
      <c r="E44" s="434" cm="1">
        <f t="array" ref="E44">MAX(IF('4-Basis ruimtestaat'!B:B=A44,'4-Basis ruimtestaat'!S:S))</f>
        <v>190</v>
      </c>
      <c r="F44" s="434" t="e">
        <f>SUMIF('4-Basis ruimtestaat'!B:B,A44,'4-Basis ruimtestaat'!T:T)</f>
        <v>#DIV/0!</v>
      </c>
      <c r="G44" s="435" t="e">
        <f t="shared" si="10"/>
        <v>#DIV/0!</v>
      </c>
      <c r="H44" s="464"/>
      <c r="I44" s="435" t="e">
        <f t="shared" si="0"/>
        <v>#DIV/0!</v>
      </c>
      <c r="J44" s="105"/>
      <c r="K44" s="437" t="e">
        <f>F44*'6-Opbouw uurtarief productie'!$E$47</f>
        <v>#DIV/0!</v>
      </c>
      <c r="L44" s="437" t="e">
        <f>G44*'6-Opbouw uurtarief productie'!$E$47</f>
        <v>#DIV/0!</v>
      </c>
      <c r="M44" s="437" t="e">
        <f t="shared" si="1"/>
        <v>#DIV/0!</v>
      </c>
      <c r="N44" s="437" t="e">
        <f>I44*'7-Opbouw uurtarief toezicht'!$E$47</f>
        <v>#DIV/0!</v>
      </c>
      <c r="O44" s="437">
        <f>VLOOKUP(A44,'9b-Vloeronderhoud'!$A$14:$K$60,4,FALSE)</f>
        <v>0</v>
      </c>
      <c r="P44" s="437" t="e">
        <f>VLOOKUP(A44,'9b-Vloeronderhoud'!$A$14:$K$60,8,FALSE)</f>
        <v>#DIV/0!</v>
      </c>
      <c r="Q44" s="437" t="e">
        <f>VLOOKUP(A44,'9b-Vloeronderhoud'!$A$14:$K$60,11,FALSE)</f>
        <v>#DIV/0!</v>
      </c>
      <c r="R44" s="437" t="e">
        <f>VLOOKUP(A44,'9b-Vloeronderhoud'!$A$14:$R$60,18,FALSE)</f>
        <v>#DIV/0!</v>
      </c>
      <c r="S44" s="489">
        <f>SUMIF('8-Additionele werkzaamheden'!A:A,A44,'8-Additionele werkzaamheden'!G:G)</f>
        <v>0</v>
      </c>
      <c r="T44" s="489">
        <f>SUMIF('10-Glasbewassing'!A:A,A44,'10-Glasbewassing'!G:G)</f>
        <v>0</v>
      </c>
      <c r="U44" s="437" t="e">
        <f t="shared" si="2"/>
        <v>#DIV/0!</v>
      </c>
      <c r="V44" s="437" t="e">
        <f t="shared" si="3"/>
        <v>#DIV/0!</v>
      </c>
      <c r="X44" s="641" t="e">
        <f t="shared" si="4"/>
        <v>#DIV/0!</v>
      </c>
      <c r="Y44" s="437" t="e">
        <f t="shared" si="5"/>
        <v>#DIV/0!</v>
      </c>
    </row>
    <row r="45" spans="1:25" ht="15" customHeight="1">
      <c r="A45" s="485" t="s">
        <v>244</v>
      </c>
      <c r="B45" s="160" t="s">
        <v>902</v>
      </c>
      <c r="C45" s="516" t="s">
        <v>907</v>
      </c>
      <c r="D45" s="434">
        <f>SUMIF('4-Basis ruimtestaat'!B:B,A45,'4-Basis ruimtestaat'!J:J)</f>
        <v>1250.1000188827513</v>
      </c>
      <c r="E45" s="434" cm="1">
        <f t="array" ref="E45">MAX(IF('4-Basis ruimtestaat'!B:B=A45,'4-Basis ruimtestaat'!S:S))</f>
        <v>190</v>
      </c>
      <c r="F45" s="434" t="e">
        <f>SUMIF('4-Basis ruimtestaat'!B:B,A45,'4-Basis ruimtestaat'!T:T)</f>
        <v>#DIV/0!</v>
      </c>
      <c r="G45" s="435" t="e">
        <f t="shared" si="10"/>
        <v>#DIV/0!</v>
      </c>
      <c r="H45" s="464"/>
      <c r="I45" s="435" t="e">
        <f t="shared" si="0"/>
        <v>#DIV/0!</v>
      </c>
      <c r="J45" s="105"/>
      <c r="K45" s="437" t="e">
        <f>F45*'6-Opbouw uurtarief productie'!$E$47</f>
        <v>#DIV/0!</v>
      </c>
      <c r="L45" s="437" t="e">
        <f>G45*'6-Opbouw uurtarief productie'!$E$47</f>
        <v>#DIV/0!</v>
      </c>
      <c r="M45" s="437" t="e">
        <f t="shared" si="1"/>
        <v>#DIV/0!</v>
      </c>
      <c r="N45" s="437" t="e">
        <f>I45*'7-Opbouw uurtarief toezicht'!$E$47</f>
        <v>#DIV/0!</v>
      </c>
      <c r="O45" s="437" t="e">
        <f>VLOOKUP(A45,'9b-Vloeronderhoud'!$A$14:$K$60,4,FALSE)</f>
        <v>#DIV/0!</v>
      </c>
      <c r="P45" s="437" t="e">
        <f>VLOOKUP(A45,'9b-Vloeronderhoud'!$A$14:$K$60,8,FALSE)</f>
        <v>#DIV/0!</v>
      </c>
      <c r="Q45" s="437" t="e">
        <f>VLOOKUP(A45,'9b-Vloeronderhoud'!$A$14:$K$60,11,FALSE)</f>
        <v>#DIV/0!</v>
      </c>
      <c r="R45" s="437" t="e">
        <f>VLOOKUP(A45,'9b-Vloeronderhoud'!$A$14:$R$60,18,FALSE)</f>
        <v>#DIV/0!</v>
      </c>
      <c r="S45" s="489">
        <f>SUMIF('8-Additionele werkzaamheden'!A:A,A45,'8-Additionele werkzaamheden'!G:G)</f>
        <v>0</v>
      </c>
      <c r="T45" s="489">
        <f>SUMIF('10-Glasbewassing'!A:A,A45,'10-Glasbewassing'!G:G)</f>
        <v>0</v>
      </c>
      <c r="U45" s="437" t="e">
        <f t="shared" si="2"/>
        <v>#DIV/0!</v>
      </c>
      <c r="V45" s="437" t="e">
        <f t="shared" si="3"/>
        <v>#DIV/0!</v>
      </c>
      <c r="X45" s="641" t="e">
        <f t="shared" si="4"/>
        <v>#DIV/0!</v>
      </c>
      <c r="Y45" s="437" t="e">
        <f t="shared" si="5"/>
        <v>#DIV/0!</v>
      </c>
    </row>
    <row r="46" spans="1:25" ht="15" customHeight="1">
      <c r="A46" s="485" t="s">
        <v>241</v>
      </c>
      <c r="B46" s="160" t="s">
        <v>902</v>
      </c>
      <c r="C46" s="516" t="s">
        <v>908</v>
      </c>
      <c r="D46" s="434">
        <f>SUMIF('4-Basis ruimtestaat'!B:B,A46,'4-Basis ruimtestaat'!J:J)</f>
        <v>1246.8999965190887</v>
      </c>
      <c r="E46" s="434" cm="1">
        <f t="array" ref="E46">MAX(IF('4-Basis ruimtestaat'!B:B=A46,'4-Basis ruimtestaat'!S:S))</f>
        <v>190</v>
      </c>
      <c r="F46" s="434" t="e">
        <f>SUMIF('4-Basis ruimtestaat'!B:B,A46,'4-Basis ruimtestaat'!T:T)</f>
        <v>#DIV/0!</v>
      </c>
      <c r="G46" s="435" t="e">
        <f t="shared" si="10"/>
        <v>#DIV/0!</v>
      </c>
      <c r="H46" s="464"/>
      <c r="I46" s="435" t="e">
        <f t="shared" si="0"/>
        <v>#DIV/0!</v>
      </c>
      <c r="J46" s="105"/>
      <c r="K46" s="437" t="e">
        <f>F46*'6-Opbouw uurtarief productie'!$E$47</f>
        <v>#DIV/0!</v>
      </c>
      <c r="L46" s="437" t="e">
        <f>G46*'6-Opbouw uurtarief productie'!$E$47</f>
        <v>#DIV/0!</v>
      </c>
      <c r="M46" s="437" t="e">
        <f t="shared" si="1"/>
        <v>#DIV/0!</v>
      </c>
      <c r="N46" s="437" t="e">
        <f>I46*'7-Opbouw uurtarief toezicht'!$E$47</f>
        <v>#DIV/0!</v>
      </c>
      <c r="O46" s="437" t="e">
        <f>VLOOKUP(A46,'9b-Vloeronderhoud'!$A$14:$K$60,4,FALSE)</f>
        <v>#DIV/0!</v>
      </c>
      <c r="P46" s="437" t="e">
        <f>VLOOKUP(A46,'9b-Vloeronderhoud'!$A$14:$K$60,8,FALSE)</f>
        <v>#DIV/0!</v>
      </c>
      <c r="Q46" s="437" t="e">
        <f>VLOOKUP(A46,'9b-Vloeronderhoud'!$A$14:$K$60,11,FALSE)</f>
        <v>#DIV/0!</v>
      </c>
      <c r="R46" s="437" t="e">
        <f>VLOOKUP(A46,'9b-Vloeronderhoud'!$A$14:$R$60,18,FALSE)</f>
        <v>#DIV/0!</v>
      </c>
      <c r="S46" s="489">
        <f>SUMIF('8-Additionele werkzaamheden'!A:A,A46,'8-Additionele werkzaamheden'!G:G)</f>
        <v>0</v>
      </c>
      <c r="T46" s="489">
        <f>SUMIF('10-Glasbewassing'!A:A,A46,'10-Glasbewassing'!G:G)</f>
        <v>0</v>
      </c>
      <c r="U46" s="437" t="e">
        <f t="shared" si="2"/>
        <v>#DIV/0!</v>
      </c>
      <c r="V46" s="437" t="e">
        <f t="shared" si="3"/>
        <v>#DIV/0!</v>
      </c>
      <c r="X46" s="641" t="e">
        <f t="shared" si="4"/>
        <v>#DIV/0!</v>
      </c>
      <c r="Y46" s="437" t="e">
        <f t="shared" si="5"/>
        <v>#DIV/0!</v>
      </c>
    </row>
    <row r="47" spans="1:25" ht="15" customHeight="1">
      <c r="A47" s="485" t="s">
        <v>249</v>
      </c>
      <c r="B47" s="108" t="s">
        <v>909</v>
      </c>
      <c r="C47" s="516" t="s">
        <v>917</v>
      </c>
      <c r="D47" s="434">
        <f>SUMIF('4-Basis ruimtestaat'!B:B,A47,'4-Basis ruimtestaat'!J:J)</f>
        <v>792.95001125335693</v>
      </c>
      <c r="E47" s="434" cm="1">
        <f t="array" ref="E47">MAX(IF('4-Basis ruimtestaat'!B:B=A47,'4-Basis ruimtestaat'!S:S))</f>
        <v>190</v>
      </c>
      <c r="F47" s="434" t="e">
        <f>SUMIF('4-Basis ruimtestaat'!B:B,A47,'4-Basis ruimtestaat'!T:T)</f>
        <v>#DIV/0!</v>
      </c>
      <c r="G47" s="435" t="e">
        <f t="shared" si="10"/>
        <v>#DIV/0!</v>
      </c>
      <c r="H47" s="464"/>
      <c r="I47" s="435" t="e">
        <f t="shared" si="0"/>
        <v>#DIV/0!</v>
      </c>
      <c r="J47" s="105"/>
      <c r="K47" s="437" t="e">
        <f>F47*'6-Opbouw uurtarief productie'!$E$47</f>
        <v>#DIV/0!</v>
      </c>
      <c r="L47" s="437" t="e">
        <f>G47*'6-Opbouw uurtarief productie'!$E$47</f>
        <v>#DIV/0!</v>
      </c>
      <c r="M47" s="437" t="e">
        <f t="shared" si="1"/>
        <v>#DIV/0!</v>
      </c>
      <c r="N47" s="437" t="e">
        <f>I47*'7-Opbouw uurtarief toezicht'!$E$47</f>
        <v>#DIV/0!</v>
      </c>
      <c r="O47" s="437" t="e">
        <f>VLOOKUP(A47,'9b-Vloeronderhoud'!$A$14:$K$60,4,FALSE)</f>
        <v>#DIV/0!</v>
      </c>
      <c r="P47" s="437" t="e">
        <f>VLOOKUP(A47,'9b-Vloeronderhoud'!$A$14:$K$60,8,FALSE)</f>
        <v>#DIV/0!</v>
      </c>
      <c r="Q47" s="437" t="e">
        <f>VLOOKUP(A47,'9b-Vloeronderhoud'!$A$14:$K$60,11,FALSE)</f>
        <v>#DIV/0!</v>
      </c>
      <c r="R47" s="437" t="e">
        <f>VLOOKUP(A47,'9b-Vloeronderhoud'!$A$14:$R$60,18,FALSE)</f>
        <v>#DIV/0!</v>
      </c>
      <c r="S47" s="489">
        <f>SUMIF('8-Additionele werkzaamheden'!A:A,A47,'8-Additionele werkzaamheden'!G:G)</f>
        <v>0</v>
      </c>
      <c r="T47" s="489">
        <f>SUMIF('10-Glasbewassing'!A:A,A47,'10-Glasbewassing'!G:G)</f>
        <v>0</v>
      </c>
      <c r="U47" s="437" t="e">
        <f t="shared" si="2"/>
        <v>#DIV/0!</v>
      </c>
      <c r="V47" s="437" t="e">
        <f t="shared" si="3"/>
        <v>#DIV/0!</v>
      </c>
      <c r="X47" s="641" t="e">
        <f t="shared" si="4"/>
        <v>#DIV/0!</v>
      </c>
      <c r="Y47" s="437" t="e">
        <f t="shared" si="5"/>
        <v>#DIV/0!</v>
      </c>
    </row>
    <row r="48" spans="1:25" ht="15" customHeight="1">
      <c r="A48" s="485" t="s">
        <v>260</v>
      </c>
      <c r="B48" s="160" t="s">
        <v>886</v>
      </c>
      <c r="C48" s="516" t="s">
        <v>885</v>
      </c>
      <c r="D48" s="434">
        <f>SUMIF('4-Basis ruimtestaat'!B:B,A48,'4-Basis ruimtestaat'!J:J)</f>
        <v>658.38000000000022</v>
      </c>
      <c r="E48" s="434" cm="1">
        <f t="array" ref="E48">MAX(IF('4-Basis ruimtestaat'!B:B=A48,'4-Basis ruimtestaat'!S:S))</f>
        <v>190</v>
      </c>
      <c r="F48" s="434" t="e">
        <f>SUMIF('4-Basis ruimtestaat'!B:B,A48,'4-Basis ruimtestaat'!T:T)</f>
        <v>#DIV/0!</v>
      </c>
      <c r="G48" s="435" t="e">
        <f t="shared" si="10"/>
        <v>#DIV/0!</v>
      </c>
      <c r="H48" s="464"/>
      <c r="I48" s="435" t="e">
        <f t="shared" si="0"/>
        <v>#DIV/0!</v>
      </c>
      <c r="J48" s="105"/>
      <c r="K48" s="437" t="e">
        <f>F48*'6-Opbouw uurtarief productie'!$E$47</f>
        <v>#DIV/0!</v>
      </c>
      <c r="L48" s="437" t="e">
        <f>G48*'6-Opbouw uurtarief productie'!$E$47</f>
        <v>#DIV/0!</v>
      </c>
      <c r="M48" s="437" t="e">
        <f t="shared" si="1"/>
        <v>#DIV/0!</v>
      </c>
      <c r="N48" s="437" t="e">
        <f>I48*'7-Opbouw uurtarief toezicht'!$E$47</f>
        <v>#DIV/0!</v>
      </c>
      <c r="O48" s="437" t="e">
        <f>VLOOKUP(A48,'9b-Vloeronderhoud'!$A$14:$K$60,4,FALSE)</f>
        <v>#DIV/0!</v>
      </c>
      <c r="P48" s="437" t="e">
        <f>VLOOKUP(A48,'9b-Vloeronderhoud'!$A$14:$K$60,8,FALSE)</f>
        <v>#DIV/0!</v>
      </c>
      <c r="Q48" s="437" t="e">
        <f>VLOOKUP(A48,'9b-Vloeronderhoud'!$A$14:$K$60,11,FALSE)</f>
        <v>#DIV/0!</v>
      </c>
      <c r="R48" s="437" t="e">
        <f>VLOOKUP(A48,'9b-Vloeronderhoud'!$A$14:$R$60,18,FALSE)</f>
        <v>#DIV/0!</v>
      </c>
      <c r="S48" s="489">
        <f>SUMIF('8-Additionele werkzaamheden'!A:A,A48,'8-Additionele werkzaamheden'!G:G)</f>
        <v>0</v>
      </c>
      <c r="T48" s="489">
        <f>SUMIF('10-Glasbewassing'!A:A,A48,'10-Glasbewassing'!G:G)</f>
        <v>0</v>
      </c>
      <c r="U48" s="437" t="e">
        <f t="shared" si="2"/>
        <v>#DIV/0!</v>
      </c>
      <c r="V48" s="437" t="e">
        <f t="shared" si="3"/>
        <v>#DIV/0!</v>
      </c>
      <c r="X48" s="641" t="e">
        <f t="shared" si="4"/>
        <v>#DIV/0!</v>
      </c>
      <c r="Y48" s="437" t="e">
        <f t="shared" si="5"/>
        <v>#DIV/0!</v>
      </c>
    </row>
    <row r="49" spans="1:25" ht="15" customHeight="1">
      <c r="A49" s="485" t="s">
        <v>259</v>
      </c>
      <c r="B49" s="108" t="s">
        <v>909</v>
      </c>
      <c r="C49" s="516" t="s">
        <v>918</v>
      </c>
      <c r="D49" s="434">
        <f>SUMIF('4-Basis ruimtestaat'!B:B,A49,'4-Basis ruimtestaat'!J:J)</f>
        <v>503.45000123977661</v>
      </c>
      <c r="E49" s="434" cm="1">
        <f t="array" ref="E49">MAX(IF('4-Basis ruimtestaat'!B:B=A49,'4-Basis ruimtestaat'!S:S))</f>
        <v>190</v>
      </c>
      <c r="F49" s="434" t="e">
        <f>SUMIF('4-Basis ruimtestaat'!B:B,A49,'4-Basis ruimtestaat'!T:T)</f>
        <v>#DIV/0!</v>
      </c>
      <c r="G49" s="435" t="e">
        <f t="shared" si="10"/>
        <v>#DIV/0!</v>
      </c>
      <c r="H49" s="464"/>
      <c r="I49" s="435" t="e">
        <f t="shared" si="0"/>
        <v>#DIV/0!</v>
      </c>
      <c r="J49" s="105"/>
      <c r="K49" s="437" t="e">
        <f>F49*'6-Opbouw uurtarief productie'!$E$47</f>
        <v>#DIV/0!</v>
      </c>
      <c r="L49" s="437" t="e">
        <f>G49*'6-Opbouw uurtarief productie'!$E$47</f>
        <v>#DIV/0!</v>
      </c>
      <c r="M49" s="437" t="e">
        <f t="shared" si="1"/>
        <v>#DIV/0!</v>
      </c>
      <c r="N49" s="437" t="e">
        <f>I49*'7-Opbouw uurtarief toezicht'!$E$47</f>
        <v>#DIV/0!</v>
      </c>
      <c r="O49" s="437" t="e">
        <f>VLOOKUP(A49,'9b-Vloeronderhoud'!$A$14:$K$60,4,FALSE)</f>
        <v>#DIV/0!</v>
      </c>
      <c r="P49" s="437" t="e">
        <f>VLOOKUP(A49,'9b-Vloeronderhoud'!$A$14:$K$60,8,FALSE)</f>
        <v>#DIV/0!</v>
      </c>
      <c r="Q49" s="437" t="e">
        <f>VLOOKUP(A49,'9b-Vloeronderhoud'!$A$14:$K$60,11,FALSE)</f>
        <v>#DIV/0!</v>
      </c>
      <c r="R49" s="437" t="e">
        <f>VLOOKUP(A49,'9b-Vloeronderhoud'!$A$14:$R$60,18,FALSE)</f>
        <v>#DIV/0!</v>
      </c>
      <c r="S49" s="489">
        <f>SUMIF('8-Additionele werkzaamheden'!A:A,A49,'8-Additionele werkzaamheden'!G:G)</f>
        <v>0</v>
      </c>
      <c r="T49" s="489">
        <f>SUMIF('10-Glasbewassing'!A:A,A49,'10-Glasbewassing'!G:G)</f>
        <v>0</v>
      </c>
      <c r="U49" s="437" t="e">
        <f t="shared" si="2"/>
        <v>#DIV/0!</v>
      </c>
      <c r="V49" s="437" t="e">
        <f t="shared" si="3"/>
        <v>#DIV/0!</v>
      </c>
      <c r="X49" s="641" t="e">
        <f t="shared" si="4"/>
        <v>#DIV/0!</v>
      </c>
      <c r="Y49" s="437" t="e">
        <f t="shared" si="5"/>
        <v>#DIV/0!</v>
      </c>
    </row>
    <row r="50" spans="1:25" ht="15" customHeight="1">
      <c r="A50" s="485" t="s">
        <v>252</v>
      </c>
      <c r="B50" s="108" t="s">
        <v>909</v>
      </c>
      <c r="C50" s="516" t="s">
        <v>919</v>
      </c>
      <c r="D50" s="434">
        <f>SUMIF('4-Basis ruimtestaat'!B:B,A50,'4-Basis ruimtestaat'!J:J)</f>
        <v>1634.5999999999997</v>
      </c>
      <c r="E50" s="434" cm="1">
        <f t="array" ref="E50">MAX(IF('4-Basis ruimtestaat'!B:B=A50,'4-Basis ruimtestaat'!S:S))</f>
        <v>190</v>
      </c>
      <c r="F50" s="434" t="e">
        <f>SUMIF('4-Basis ruimtestaat'!B:B,A50,'4-Basis ruimtestaat'!T:T)</f>
        <v>#DIV/0!</v>
      </c>
      <c r="G50" s="435" t="e">
        <f t="shared" si="10"/>
        <v>#DIV/0!</v>
      </c>
      <c r="H50" s="464"/>
      <c r="I50" s="435" t="e">
        <f t="shared" si="0"/>
        <v>#DIV/0!</v>
      </c>
      <c r="J50" s="105"/>
      <c r="K50" s="437" t="e">
        <f>F50*'6-Opbouw uurtarief productie'!$E$47</f>
        <v>#DIV/0!</v>
      </c>
      <c r="L50" s="437" t="e">
        <f>G50*'6-Opbouw uurtarief productie'!$E$47</f>
        <v>#DIV/0!</v>
      </c>
      <c r="M50" s="437" t="e">
        <f t="shared" si="1"/>
        <v>#DIV/0!</v>
      </c>
      <c r="N50" s="437" t="e">
        <f>I50*'7-Opbouw uurtarief toezicht'!$E$47</f>
        <v>#DIV/0!</v>
      </c>
      <c r="O50" s="437">
        <f>VLOOKUP(A50,'9b-Vloeronderhoud'!$A$14:$K$60,4,FALSE)</f>
        <v>0</v>
      </c>
      <c r="P50" s="437" t="e">
        <f>VLOOKUP(A50,'9b-Vloeronderhoud'!$A$14:$K$60,8,FALSE)</f>
        <v>#DIV/0!</v>
      </c>
      <c r="Q50" s="437" t="e">
        <f>VLOOKUP(A50,'9b-Vloeronderhoud'!$A$14:$K$60,11,FALSE)</f>
        <v>#DIV/0!</v>
      </c>
      <c r="R50" s="437" t="e">
        <f>VLOOKUP(A50,'9b-Vloeronderhoud'!$A$14:$R$60,18,FALSE)</f>
        <v>#DIV/0!</v>
      </c>
      <c r="S50" s="489">
        <f>SUMIF('8-Additionele werkzaamheden'!A:A,A50,'8-Additionele werkzaamheden'!G:G)</f>
        <v>0</v>
      </c>
      <c r="T50" s="489">
        <f>SUMIF('10-Glasbewassing'!A:A,A50,'10-Glasbewassing'!G:G)</f>
        <v>0</v>
      </c>
      <c r="U50" s="437" t="e">
        <f t="shared" si="2"/>
        <v>#DIV/0!</v>
      </c>
      <c r="V50" s="437" t="e">
        <f t="shared" si="3"/>
        <v>#DIV/0!</v>
      </c>
      <c r="X50" s="641" t="e">
        <f t="shared" si="4"/>
        <v>#DIV/0!</v>
      </c>
      <c r="Y50" s="437" t="e">
        <f t="shared" si="5"/>
        <v>#DIV/0!</v>
      </c>
    </row>
    <row r="51" spans="1:25" ht="15" customHeight="1">
      <c r="A51" s="485" t="s">
        <v>258</v>
      </c>
      <c r="B51" s="108" t="s">
        <v>909</v>
      </c>
      <c r="C51" s="516" t="s">
        <v>920</v>
      </c>
      <c r="D51" s="434">
        <f>SUMIF('4-Basis ruimtestaat'!B:B,A51,'4-Basis ruimtestaat'!J:J)</f>
        <v>1807.2500002384186</v>
      </c>
      <c r="E51" s="434" cm="1">
        <f t="array" ref="E51">MAX(IF('4-Basis ruimtestaat'!B:B=A51,'4-Basis ruimtestaat'!S:S))</f>
        <v>190</v>
      </c>
      <c r="F51" s="434" t="e">
        <f>SUMIF('4-Basis ruimtestaat'!B:B,A51,'4-Basis ruimtestaat'!T:T)</f>
        <v>#DIV/0!</v>
      </c>
      <c r="G51" s="435" t="e">
        <f t="shared" si="10"/>
        <v>#DIV/0!</v>
      </c>
      <c r="H51" s="464"/>
      <c r="I51" s="435" t="e">
        <f t="shared" si="0"/>
        <v>#DIV/0!</v>
      </c>
      <c r="J51" s="105"/>
      <c r="K51" s="437" t="e">
        <f>F51*'6-Opbouw uurtarief productie'!$E$47</f>
        <v>#DIV/0!</v>
      </c>
      <c r="L51" s="437" t="e">
        <f>G51*'6-Opbouw uurtarief productie'!$E$47</f>
        <v>#DIV/0!</v>
      </c>
      <c r="M51" s="437" t="e">
        <f t="shared" si="1"/>
        <v>#DIV/0!</v>
      </c>
      <c r="N51" s="437" t="e">
        <f>I51*'7-Opbouw uurtarief toezicht'!$E$47</f>
        <v>#DIV/0!</v>
      </c>
      <c r="O51" s="437" t="e">
        <f>VLOOKUP(A51,'9b-Vloeronderhoud'!$A$14:$K$60,4,FALSE)</f>
        <v>#DIV/0!</v>
      </c>
      <c r="P51" s="437" t="e">
        <f>VLOOKUP(A51,'9b-Vloeronderhoud'!$A$14:$K$60,8,FALSE)</f>
        <v>#DIV/0!</v>
      </c>
      <c r="Q51" s="437" t="e">
        <f>VLOOKUP(A51,'9b-Vloeronderhoud'!$A$14:$K$60,11,FALSE)</f>
        <v>#DIV/0!</v>
      </c>
      <c r="R51" s="437" t="e">
        <f>VLOOKUP(A51,'9b-Vloeronderhoud'!$A$14:$R$60,18,FALSE)</f>
        <v>#DIV/0!</v>
      </c>
      <c r="S51" s="489">
        <f>SUMIF('8-Additionele werkzaamheden'!A:A,A51,'8-Additionele werkzaamheden'!G:G)</f>
        <v>0</v>
      </c>
      <c r="T51" s="489">
        <f>SUMIF('10-Glasbewassing'!A:A,A51,'10-Glasbewassing'!G:G)</f>
        <v>0</v>
      </c>
      <c r="U51" s="437" t="e">
        <f t="shared" si="2"/>
        <v>#DIV/0!</v>
      </c>
      <c r="V51" s="437" t="e">
        <f t="shared" si="3"/>
        <v>#DIV/0!</v>
      </c>
      <c r="X51" s="641" t="e">
        <f t="shared" si="4"/>
        <v>#DIV/0!</v>
      </c>
      <c r="Y51" s="437" t="e">
        <f t="shared" si="5"/>
        <v>#DIV/0!</v>
      </c>
    </row>
    <row r="52" spans="1:25" ht="15" customHeight="1">
      <c r="A52" s="485" t="s">
        <v>229</v>
      </c>
      <c r="B52" s="160" t="s">
        <v>886</v>
      </c>
      <c r="C52" s="160" t="s">
        <v>889</v>
      </c>
      <c r="D52" s="434">
        <f>SUMIF('4-Basis ruimtestaat'!B:B,A52,'4-Basis ruimtestaat'!J:J)</f>
        <v>1168.42999958992</v>
      </c>
      <c r="E52" s="434" cm="1">
        <f t="array" ref="E52">MAX(IF('4-Basis ruimtestaat'!B:B=A52,'4-Basis ruimtestaat'!S:S))</f>
        <v>190</v>
      </c>
      <c r="F52" s="434" t="e">
        <f>SUMIF('4-Basis ruimtestaat'!B:B,A52,'4-Basis ruimtestaat'!T:T)</f>
        <v>#DIV/0!</v>
      </c>
      <c r="G52" s="435" t="e">
        <f t="shared" si="10"/>
        <v>#DIV/0!</v>
      </c>
      <c r="H52" s="464"/>
      <c r="I52" s="435" t="e">
        <f t="shared" si="0"/>
        <v>#DIV/0!</v>
      </c>
      <c r="J52" s="105"/>
      <c r="K52" s="437" t="e">
        <f>F52*'6-Opbouw uurtarief productie'!$E$47</f>
        <v>#DIV/0!</v>
      </c>
      <c r="L52" s="437" t="e">
        <f>G52*'6-Opbouw uurtarief productie'!$E$47</f>
        <v>#DIV/0!</v>
      </c>
      <c r="M52" s="437" t="e">
        <f t="shared" si="1"/>
        <v>#DIV/0!</v>
      </c>
      <c r="N52" s="437" t="e">
        <f>I52*'7-Opbouw uurtarief toezicht'!$E$47</f>
        <v>#DIV/0!</v>
      </c>
      <c r="O52" s="437" t="e">
        <f>VLOOKUP(A52,'9b-Vloeronderhoud'!$A$14:$K$60,4,FALSE)</f>
        <v>#DIV/0!</v>
      </c>
      <c r="P52" s="437" t="e">
        <f>VLOOKUP(A52,'9b-Vloeronderhoud'!$A$14:$K$60,8,FALSE)</f>
        <v>#DIV/0!</v>
      </c>
      <c r="Q52" s="437" t="e">
        <f>VLOOKUP(A52,'9b-Vloeronderhoud'!$A$14:$K$60,11,FALSE)</f>
        <v>#DIV/0!</v>
      </c>
      <c r="R52" s="437" t="e">
        <f>VLOOKUP(A52,'9b-Vloeronderhoud'!$A$14:$R$60,18,FALSE)</f>
        <v>#DIV/0!</v>
      </c>
      <c r="S52" s="489">
        <f>SUMIF('8-Additionele werkzaamheden'!A:A,A52,'8-Additionele werkzaamheden'!G:G)</f>
        <v>0</v>
      </c>
      <c r="T52" s="489">
        <f>SUMIF('10-Glasbewassing'!A:A,A52,'10-Glasbewassing'!G:G)</f>
        <v>0</v>
      </c>
      <c r="U52" s="437" t="e">
        <f t="shared" si="2"/>
        <v>#DIV/0!</v>
      </c>
      <c r="V52" s="437" t="e">
        <f t="shared" si="3"/>
        <v>#DIV/0!</v>
      </c>
      <c r="X52" s="641" t="e">
        <f t="shared" si="4"/>
        <v>#DIV/0!</v>
      </c>
      <c r="Y52" s="437" t="e">
        <f t="shared" si="5"/>
        <v>#DIV/0!</v>
      </c>
    </row>
    <row r="53" spans="1:25" ht="15" customHeight="1">
      <c r="A53" s="485" t="s">
        <v>227</v>
      </c>
      <c r="B53" s="160" t="s">
        <v>886</v>
      </c>
      <c r="C53" s="160" t="s">
        <v>887</v>
      </c>
      <c r="D53" s="434">
        <f>SUMIF('4-Basis ruimtestaat'!B:B,A53,'4-Basis ruimtestaat'!J:J)</f>
        <v>763.14999103546143</v>
      </c>
      <c r="E53" s="434" cm="1">
        <f t="array" ref="E53">MAX(IF('4-Basis ruimtestaat'!B:B=A53,'4-Basis ruimtestaat'!S:S))</f>
        <v>190</v>
      </c>
      <c r="F53" s="434" t="e">
        <f>SUMIF('4-Basis ruimtestaat'!B:B,A53,'4-Basis ruimtestaat'!T:T)</f>
        <v>#DIV/0!</v>
      </c>
      <c r="G53" s="435" t="e">
        <f t="shared" si="10"/>
        <v>#DIV/0!</v>
      </c>
      <c r="H53" s="464"/>
      <c r="I53" s="435" t="e">
        <f t="shared" si="0"/>
        <v>#DIV/0!</v>
      </c>
      <c r="J53" s="105"/>
      <c r="K53" s="437" t="e">
        <f>F53*'6-Opbouw uurtarief productie'!$E$47</f>
        <v>#DIV/0!</v>
      </c>
      <c r="L53" s="437" t="e">
        <f>G53*'6-Opbouw uurtarief productie'!$E$47</f>
        <v>#DIV/0!</v>
      </c>
      <c r="M53" s="437" t="e">
        <f t="shared" si="1"/>
        <v>#DIV/0!</v>
      </c>
      <c r="N53" s="437" t="e">
        <f>I53*'7-Opbouw uurtarief toezicht'!$E$47</f>
        <v>#DIV/0!</v>
      </c>
      <c r="O53" s="437" t="e">
        <f>VLOOKUP(A53,'9b-Vloeronderhoud'!$A$14:$K$60,4,FALSE)</f>
        <v>#DIV/0!</v>
      </c>
      <c r="P53" s="437" t="e">
        <f>VLOOKUP(A53,'9b-Vloeronderhoud'!$A$14:$K$60,8,FALSE)</f>
        <v>#DIV/0!</v>
      </c>
      <c r="Q53" s="437" t="e">
        <f>VLOOKUP(A53,'9b-Vloeronderhoud'!$A$14:$K$60,11,FALSE)</f>
        <v>#DIV/0!</v>
      </c>
      <c r="R53" s="437" t="e">
        <f>VLOOKUP(A53,'9b-Vloeronderhoud'!$A$14:$R$60,18,FALSE)</f>
        <v>#DIV/0!</v>
      </c>
      <c r="S53" s="489">
        <f>SUMIF('8-Additionele werkzaamheden'!A:A,A53,'8-Additionele werkzaamheden'!G:G)</f>
        <v>0</v>
      </c>
      <c r="T53" s="489">
        <f>SUMIF('10-Glasbewassing'!A:A,A53,'10-Glasbewassing'!G:G)</f>
        <v>0</v>
      </c>
      <c r="U53" s="437" t="e">
        <f t="shared" si="2"/>
        <v>#DIV/0!</v>
      </c>
      <c r="V53" s="437" t="e">
        <f t="shared" si="3"/>
        <v>#DIV/0!</v>
      </c>
      <c r="X53" s="641" t="e">
        <f t="shared" si="4"/>
        <v>#DIV/0!</v>
      </c>
      <c r="Y53" s="437" t="e">
        <f t="shared" si="5"/>
        <v>#DIV/0!</v>
      </c>
    </row>
    <row r="54" spans="1:25" ht="15" customHeight="1">
      <c r="A54" s="485" t="s">
        <v>250</v>
      </c>
      <c r="B54" s="108" t="s">
        <v>909</v>
      </c>
      <c r="C54" s="160" t="s">
        <v>921</v>
      </c>
      <c r="D54" s="434">
        <f>SUMIF('4-Basis ruimtestaat'!B:B,A54,'4-Basis ruimtestaat'!J:J)</f>
        <v>459.80000114440918</v>
      </c>
      <c r="E54" s="434" cm="1">
        <f t="array" ref="E54">MAX(IF('4-Basis ruimtestaat'!B:B=A54,'4-Basis ruimtestaat'!S:S))</f>
        <v>190</v>
      </c>
      <c r="F54" s="434" t="e">
        <f>SUMIF('4-Basis ruimtestaat'!B:B,A54,'4-Basis ruimtestaat'!T:T)</f>
        <v>#DIV/0!</v>
      </c>
      <c r="G54" s="435" t="e">
        <f t="shared" si="10"/>
        <v>#DIV/0!</v>
      </c>
      <c r="H54" s="464"/>
      <c r="I54" s="435" t="e">
        <f t="shared" si="0"/>
        <v>#DIV/0!</v>
      </c>
      <c r="J54" s="105"/>
      <c r="K54" s="437" t="e">
        <f>F54*'6-Opbouw uurtarief productie'!$E$47</f>
        <v>#DIV/0!</v>
      </c>
      <c r="L54" s="437" t="e">
        <f>G54*'6-Opbouw uurtarief productie'!$E$47</f>
        <v>#DIV/0!</v>
      </c>
      <c r="M54" s="437" t="e">
        <f t="shared" si="1"/>
        <v>#DIV/0!</v>
      </c>
      <c r="N54" s="437" t="e">
        <f>I54*'7-Opbouw uurtarief toezicht'!$E$47</f>
        <v>#DIV/0!</v>
      </c>
      <c r="O54" s="437" t="e">
        <f>VLOOKUP(A54,'9b-Vloeronderhoud'!$A$14:$K$60,4,FALSE)</f>
        <v>#DIV/0!</v>
      </c>
      <c r="P54" s="437" t="e">
        <f>VLOOKUP(A54,'9b-Vloeronderhoud'!$A$14:$K$60,8,FALSE)</f>
        <v>#DIV/0!</v>
      </c>
      <c r="Q54" s="437" t="e">
        <f>VLOOKUP(A54,'9b-Vloeronderhoud'!$A$14:$K$60,11,FALSE)</f>
        <v>#DIV/0!</v>
      </c>
      <c r="R54" s="437" t="e">
        <f>VLOOKUP(A54,'9b-Vloeronderhoud'!$A$14:$R$60,18,FALSE)</f>
        <v>#DIV/0!</v>
      </c>
      <c r="S54" s="489">
        <f>SUMIF('8-Additionele werkzaamheden'!A:A,A54,'8-Additionele werkzaamheden'!G:G)</f>
        <v>0</v>
      </c>
      <c r="T54" s="489">
        <f>SUMIF('10-Glasbewassing'!A:A,A54,'10-Glasbewassing'!G:G)</f>
        <v>0</v>
      </c>
      <c r="U54" s="437" t="e">
        <f t="shared" si="2"/>
        <v>#DIV/0!</v>
      </c>
      <c r="V54" s="437" t="e">
        <f t="shared" si="3"/>
        <v>#DIV/0!</v>
      </c>
      <c r="X54" s="641" t="e">
        <f t="shared" si="4"/>
        <v>#DIV/0!</v>
      </c>
      <c r="Y54" s="437" t="e">
        <f t="shared" si="5"/>
        <v>#DIV/0!</v>
      </c>
    </row>
    <row r="55" spans="1:25" ht="15" customHeight="1">
      <c r="A55" s="485" t="s">
        <v>248</v>
      </c>
      <c r="B55" s="108" t="s">
        <v>909</v>
      </c>
      <c r="C55" s="160" t="s">
        <v>922</v>
      </c>
      <c r="D55" s="434">
        <f>SUMIF('4-Basis ruimtestaat'!B:B,A55,'4-Basis ruimtestaat'!J:J)</f>
        <v>718.7300009727478</v>
      </c>
      <c r="E55" s="434" cm="1">
        <f t="array" ref="E55">MAX(IF('4-Basis ruimtestaat'!B:B=A55,'4-Basis ruimtestaat'!S:S))</f>
        <v>190</v>
      </c>
      <c r="F55" s="434" t="e">
        <f>SUMIF('4-Basis ruimtestaat'!B:B,A55,'4-Basis ruimtestaat'!T:T)</f>
        <v>#DIV/0!</v>
      </c>
      <c r="G55" s="435" t="e">
        <f t="shared" si="10"/>
        <v>#DIV/0!</v>
      </c>
      <c r="H55" s="464"/>
      <c r="I55" s="435" t="e">
        <f t="shared" si="0"/>
        <v>#DIV/0!</v>
      </c>
      <c r="J55" s="105"/>
      <c r="K55" s="437" t="e">
        <f>F55*'6-Opbouw uurtarief productie'!$E$47</f>
        <v>#DIV/0!</v>
      </c>
      <c r="L55" s="437" t="e">
        <f>G55*'6-Opbouw uurtarief productie'!$E$47</f>
        <v>#DIV/0!</v>
      </c>
      <c r="M55" s="437" t="e">
        <f t="shared" si="1"/>
        <v>#DIV/0!</v>
      </c>
      <c r="N55" s="437" t="e">
        <f>I55*'7-Opbouw uurtarief toezicht'!$E$47</f>
        <v>#DIV/0!</v>
      </c>
      <c r="O55" s="437" t="e">
        <f>VLOOKUP(A55,'9b-Vloeronderhoud'!$A$14:$K$60,4,FALSE)</f>
        <v>#DIV/0!</v>
      </c>
      <c r="P55" s="437" t="e">
        <f>VLOOKUP(A55,'9b-Vloeronderhoud'!$A$14:$K$60,8,FALSE)</f>
        <v>#DIV/0!</v>
      </c>
      <c r="Q55" s="437" t="e">
        <f>VLOOKUP(A55,'9b-Vloeronderhoud'!$A$14:$K$60,11,FALSE)</f>
        <v>#DIV/0!</v>
      </c>
      <c r="R55" s="437" t="e">
        <f>VLOOKUP(A55,'9b-Vloeronderhoud'!$A$14:$R$60,18,FALSE)</f>
        <v>#DIV/0!</v>
      </c>
      <c r="S55" s="489">
        <f>SUMIF('8-Additionele werkzaamheden'!A:A,A55,'8-Additionele werkzaamheden'!G:G)</f>
        <v>0</v>
      </c>
      <c r="T55" s="489">
        <f>SUMIF('10-Glasbewassing'!A:A,A55,'10-Glasbewassing'!G:G)</f>
        <v>0</v>
      </c>
      <c r="U55" s="437" t="e">
        <f t="shared" si="2"/>
        <v>#DIV/0!</v>
      </c>
      <c r="V55" s="437" t="e">
        <f t="shared" si="3"/>
        <v>#DIV/0!</v>
      </c>
      <c r="X55" s="641" t="e">
        <f t="shared" si="4"/>
        <v>#DIV/0!</v>
      </c>
      <c r="Y55" s="437" t="e">
        <f t="shared" si="5"/>
        <v>#DIV/0!</v>
      </c>
    </row>
    <row r="56" spans="1:25" ht="15" customHeight="1">
      <c r="A56" s="303" t="s">
        <v>1046</v>
      </c>
      <c r="B56" s="108" t="s">
        <v>1046</v>
      </c>
      <c r="C56" s="487"/>
      <c r="D56" s="434">
        <f>SUMIF('4-Basis ruimtestaat'!B:B,A56,'4-Basis ruimtestaat'!J:J)</f>
        <v>0</v>
      </c>
      <c r="E56" s="434" cm="1">
        <f t="array" ref="E56">MAX(IF('4-Basis ruimtestaat'!B:B=A56,'4-Basis ruimtestaat'!S:S))</f>
        <v>0</v>
      </c>
      <c r="F56" s="434">
        <f>SUMIF('4-Basis ruimtestaat'!B:B,A56,'4-Basis ruimtestaat'!T:T)</f>
        <v>0</v>
      </c>
      <c r="G56" s="435">
        <f t="shared" si="10"/>
        <v>0</v>
      </c>
      <c r="H56" s="671"/>
      <c r="I56" s="435"/>
      <c r="J56" s="105"/>
      <c r="K56" s="437"/>
      <c r="L56" s="437"/>
      <c r="M56" s="437"/>
      <c r="N56" s="437"/>
      <c r="O56" s="437"/>
      <c r="P56" s="437"/>
      <c r="Q56" s="437"/>
      <c r="R56" s="437"/>
      <c r="S56" s="489"/>
      <c r="T56" s="489">
        <f>SUMIF('10-Glasbewassing'!A:A,A56,'10-Glasbewassing'!G:G)</f>
        <v>0</v>
      </c>
      <c r="U56" s="437">
        <f t="shared" ref="U56" si="11">SUM(M56:T56)</f>
        <v>0</v>
      </c>
      <c r="V56" s="437">
        <f t="shared" ref="V56" si="12">U56/12</f>
        <v>0</v>
      </c>
      <c r="X56" s="641">
        <f t="shared" si="4"/>
        <v>0</v>
      </c>
      <c r="Y56" s="437">
        <f t="shared" si="5"/>
        <v>0</v>
      </c>
    </row>
    <row r="57" spans="1:25" s="110" customFormat="1" ht="15" customHeight="1">
      <c r="A57" s="109" t="s">
        <v>9</v>
      </c>
      <c r="B57" s="108"/>
      <c r="C57" s="109"/>
      <c r="D57" s="436">
        <f>SUM(D11:D56)</f>
        <v>45424.388067424763</v>
      </c>
      <c r="E57" s="436"/>
      <c r="F57" s="436" t="e">
        <f>SUM(F11:F56)</f>
        <v>#DIV/0!</v>
      </c>
      <c r="G57" s="436" t="e">
        <f>SUM(G11:G56)</f>
        <v>#DIV/0!</v>
      </c>
      <c r="H57" s="506" t="e">
        <f>AVERAGE(H11:H56)</f>
        <v>#DIV/0!</v>
      </c>
      <c r="I57" s="436" t="e">
        <f>SUM(I11:I56)</f>
        <v>#DIV/0!</v>
      </c>
      <c r="J57" s="105"/>
      <c r="K57" s="488" t="e">
        <f t="shared" ref="K57:V57" si="13">SUM(K11:K56)</f>
        <v>#DIV/0!</v>
      </c>
      <c r="L57" s="488" t="e">
        <f t="shared" si="13"/>
        <v>#DIV/0!</v>
      </c>
      <c r="M57" s="488" t="e">
        <f t="shared" si="13"/>
        <v>#DIV/0!</v>
      </c>
      <c r="N57" s="488" t="e">
        <f t="shared" si="13"/>
        <v>#DIV/0!</v>
      </c>
      <c r="O57" s="488" t="e">
        <f t="shared" si="13"/>
        <v>#DIV/0!</v>
      </c>
      <c r="P57" s="488" t="e">
        <f t="shared" si="13"/>
        <v>#DIV/0!</v>
      </c>
      <c r="Q57" s="488" t="e">
        <f t="shared" si="13"/>
        <v>#DIV/0!</v>
      </c>
      <c r="R57" s="488" t="e">
        <f t="shared" si="13"/>
        <v>#DIV/0!</v>
      </c>
      <c r="S57" s="488">
        <f t="shared" si="13"/>
        <v>0</v>
      </c>
      <c r="T57" s="488">
        <f t="shared" si="13"/>
        <v>0</v>
      </c>
      <c r="U57" s="436" t="e">
        <f t="shared" si="13"/>
        <v>#DIV/0!</v>
      </c>
      <c r="V57" s="436" t="e">
        <f t="shared" si="13"/>
        <v>#DIV/0!</v>
      </c>
      <c r="X57" s="436" t="e">
        <f>SUM(X11:X56)</f>
        <v>#DIV/0!</v>
      </c>
      <c r="Y57" s="436" t="e">
        <f>SUM(Y11:Y56)</f>
        <v>#DIV/0!</v>
      </c>
    </row>
  </sheetData>
  <autoFilter ref="A10:V57" xr:uid="{00000000-0001-0000-0200-000000000000}"/>
  <sortState xmlns:xlrd2="http://schemas.microsoft.com/office/spreadsheetml/2017/richdata2" ref="A11:V56">
    <sortCondition ref="A11:A56"/>
  </sortState>
  <mergeCells count="1">
    <mergeCell ref="G7:H7"/>
  </mergeCells>
  <printOptions horizontalCentered="1" gridLinesSet="0"/>
  <pageMargins left="0.19685039370078741" right="0.19685039370078741" top="0.59055118110236227" bottom="0.78740157480314965" header="0.39370078740157483" footer="0.19685039370078741"/>
  <pageSetup paperSize="9" scale="40"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N36"/>
  <sheetViews>
    <sheetView showGridLines="0" zoomScaleNormal="100" workbookViewId="0">
      <pane ySplit="9" topLeftCell="A10" activePane="bottomLeft" state="frozen"/>
      <selection activeCell="D33" sqref="D33"/>
      <selection pane="bottomLeft" activeCell="B4" sqref="B4"/>
    </sheetView>
  </sheetViews>
  <sheetFormatPr defaultColWidth="9.109375" defaultRowHeight="13.2"/>
  <cols>
    <col min="1" max="1" width="33.44140625" style="4" customWidth="1"/>
    <col min="2" max="6" width="9.109375" style="4"/>
    <col min="7" max="7" width="8.5546875" style="4" customWidth="1"/>
    <col min="8" max="8" width="12.6640625" style="4" customWidth="1"/>
    <col min="9" max="10" width="9.109375" style="115"/>
    <col min="11" max="11" width="4" style="4" customWidth="1"/>
    <col min="12" max="12" width="16.109375" style="4" customWidth="1"/>
    <col min="13" max="13" width="62.6640625" style="4" customWidth="1"/>
    <col min="14" max="16384" width="9.109375" style="4"/>
  </cols>
  <sheetData>
    <row r="1" spans="1:14">
      <c r="A1" s="405" t="s">
        <v>26</v>
      </c>
    </row>
    <row r="3" spans="1:14" ht="15">
      <c r="A3" s="139" t="str">
        <f>'1-Contractblad totaal'!A3</f>
        <v>Naam opdrachtgever</v>
      </c>
      <c r="B3" s="140" t="str">
        <f>'1-Contractblad totaal'!B3</f>
        <v>Elevantio</v>
      </c>
    </row>
    <row r="4" spans="1:14" ht="15">
      <c r="A4" s="481" t="s">
        <v>15</v>
      </c>
      <c r="B4" s="140" t="str">
        <f ca="1">MID(CELL("bestandsnaam",$D$9),SEARCH("]",CELL("bestandsnaam",$D$9),1)+1,256)</f>
        <v>3-Productie normen</v>
      </c>
    </row>
    <row r="5" spans="1:14" ht="15">
      <c r="A5" s="139" t="str">
        <f>'1-Contractblad totaal'!A5</f>
        <v>Gebouw/plaats</v>
      </c>
      <c r="B5" s="140" t="str">
        <f>'1-Contractblad totaal'!B5</f>
        <v>Markt 1, Axel</v>
      </c>
    </row>
    <row r="6" spans="1:14" ht="15">
      <c r="A6" s="139" t="str">
        <f>'1-Contractblad totaal'!A8</f>
        <v>Naam dienstverlener</v>
      </c>
      <c r="B6" s="140" t="str">
        <f>'1-Contractblad totaal'!B6</f>
        <v>Elevantio-EA-LK-RT-2022</v>
      </c>
      <c r="F6" s="403" t="s">
        <v>177</v>
      </c>
      <c r="G6" s="404"/>
      <c r="H6" s="137" t="e">
        <f>SUM('4-Basis ruimtestaat'!Z:Z)/SUM('4-Basis ruimtestaat'!T:T)</f>
        <v>#DIV/0!</v>
      </c>
      <c r="I6" s="138" t="s">
        <v>178</v>
      </c>
    </row>
    <row r="7" spans="1:14">
      <c r="A7" s="116"/>
      <c r="B7" s="117"/>
      <c r="C7" s="117"/>
      <c r="D7" s="117"/>
      <c r="E7" s="117"/>
      <c r="F7" s="117"/>
      <c r="G7" s="117"/>
      <c r="H7" s="117"/>
      <c r="I7" s="120"/>
      <c r="J7" s="120"/>
      <c r="K7" s="118"/>
      <c r="L7" s="119"/>
      <c r="N7" s="119"/>
    </row>
    <row r="8" spans="1:14" ht="27.75" customHeight="1">
      <c r="A8" s="135" t="s">
        <v>107</v>
      </c>
      <c r="B8" s="136">
        <v>40</v>
      </c>
      <c r="C8" s="682">
        <v>44</v>
      </c>
      <c r="D8" s="136">
        <v>80</v>
      </c>
      <c r="E8" s="136">
        <v>120</v>
      </c>
      <c r="F8" s="136">
        <v>190</v>
      </c>
      <c r="G8" s="119"/>
      <c r="H8" s="119"/>
      <c r="I8" s="120"/>
      <c r="J8" s="120"/>
      <c r="K8" s="118"/>
      <c r="L8" s="121"/>
      <c r="N8" s="121"/>
    </row>
    <row r="9" spans="1:14" ht="39" customHeight="1">
      <c r="A9" s="396" t="s">
        <v>58</v>
      </c>
      <c r="B9" s="759"/>
      <c r="C9" s="760"/>
      <c r="D9" s="759"/>
      <c r="E9" s="759"/>
      <c r="F9" s="761"/>
      <c r="G9" s="119"/>
      <c r="H9" s="395" t="s">
        <v>879</v>
      </c>
      <c r="I9" s="395" t="s">
        <v>108</v>
      </c>
      <c r="J9" s="395" t="s">
        <v>181</v>
      </c>
      <c r="K9" s="118"/>
      <c r="L9" s="664" t="s">
        <v>109</v>
      </c>
      <c r="M9" s="664" t="s">
        <v>206</v>
      </c>
      <c r="N9" s="665" t="s">
        <v>175</v>
      </c>
    </row>
    <row r="10" spans="1:14">
      <c r="A10" s="460" t="s">
        <v>189</v>
      </c>
      <c r="B10" s="689"/>
      <c r="C10" s="687"/>
      <c r="D10" s="687"/>
      <c r="E10" s="687"/>
      <c r="F10" s="687"/>
      <c r="G10" s="119"/>
      <c r="H10" s="511">
        <v>1</v>
      </c>
      <c r="I10" s="123" t="s">
        <v>112</v>
      </c>
      <c r="J10" s="397">
        <f>SUMIF('4-Basis ruimtestaat'!G:G,'3-Productie normen'!A10,'4-Basis ruimtestaat'!J:J)</f>
        <v>1494.1700078582762</v>
      </c>
      <c r="L10" s="690">
        <v>40</v>
      </c>
      <c r="M10" s="516" t="s">
        <v>223</v>
      </c>
      <c r="N10" s="142">
        <v>2</v>
      </c>
    </row>
    <row r="11" spans="1:14">
      <c r="A11" s="460" t="s">
        <v>191</v>
      </c>
      <c r="B11" s="689"/>
      <c r="C11" s="687"/>
      <c r="D11" s="687"/>
      <c r="E11" s="687"/>
      <c r="F11" s="687"/>
      <c r="G11" s="119"/>
      <c r="H11" s="511">
        <v>1</v>
      </c>
      <c r="I11" s="123" t="s">
        <v>112</v>
      </c>
      <c r="J11" s="397">
        <f>SUMIF('4-Basis ruimtestaat'!G:G,'3-Productie normen'!A11,'4-Basis ruimtestaat'!J:J)</f>
        <v>314.55999933242794</v>
      </c>
      <c r="L11" s="691">
        <v>44</v>
      </c>
      <c r="M11" s="692" t="s">
        <v>1119</v>
      </c>
      <c r="N11" s="686">
        <v>3</v>
      </c>
    </row>
    <row r="12" spans="1:14">
      <c r="A12" s="460" t="s">
        <v>18</v>
      </c>
      <c r="B12" s="689"/>
      <c r="C12" s="687"/>
      <c r="D12" s="689"/>
      <c r="E12" s="689"/>
      <c r="F12" s="689"/>
      <c r="G12" s="119"/>
      <c r="H12" s="511">
        <v>2</v>
      </c>
      <c r="I12" s="123" t="s">
        <v>114</v>
      </c>
      <c r="J12" s="397">
        <f>SUMIF('4-Basis ruimtestaat'!G:G,'3-Productie normen'!A12,'4-Basis ruimtestaat'!J:J)</f>
        <v>1859.5880019121171</v>
      </c>
      <c r="L12" s="127">
        <v>80</v>
      </c>
      <c r="M12" s="303" t="s">
        <v>224</v>
      </c>
      <c r="N12" s="142">
        <v>4</v>
      </c>
    </row>
    <row r="13" spans="1:14">
      <c r="A13" s="460" t="s">
        <v>1</v>
      </c>
      <c r="B13" s="687"/>
      <c r="C13" s="687"/>
      <c r="D13" s="689"/>
      <c r="E13" s="687"/>
      <c r="F13" s="689"/>
      <c r="G13" s="119"/>
      <c r="H13" s="511">
        <v>2</v>
      </c>
      <c r="I13" s="123" t="s">
        <v>113</v>
      </c>
      <c r="J13" s="397">
        <f>SUMIF('4-Basis ruimtestaat'!G:G,'3-Productie normen'!A13,'4-Basis ruimtestaat'!J:J)</f>
        <v>128.4</v>
      </c>
      <c r="L13" s="128">
        <v>120</v>
      </c>
      <c r="M13" s="303" t="s">
        <v>225</v>
      </c>
      <c r="N13" s="142">
        <v>5</v>
      </c>
    </row>
    <row r="14" spans="1:14">
      <c r="A14" s="460" t="s">
        <v>286</v>
      </c>
      <c r="B14" s="687"/>
      <c r="C14" s="687"/>
      <c r="D14" s="689"/>
      <c r="E14" s="689"/>
      <c r="F14" s="689"/>
      <c r="G14" s="119"/>
      <c r="H14" s="511">
        <v>3</v>
      </c>
      <c r="I14" s="123" t="s">
        <v>113</v>
      </c>
      <c r="J14" s="397">
        <f>SUMIF('4-Basis ruimtestaat'!G:G,'3-Productie normen'!A14,'4-Basis ruimtestaat'!J:J)</f>
        <v>6152.9500017547598</v>
      </c>
      <c r="L14" s="128">
        <v>190</v>
      </c>
      <c r="M14" s="303" t="s">
        <v>1131</v>
      </c>
      <c r="N14" s="142">
        <v>6</v>
      </c>
    </row>
    <row r="15" spans="1:14">
      <c r="A15" s="122" t="s">
        <v>99</v>
      </c>
      <c r="B15" s="687"/>
      <c r="C15" s="687"/>
      <c r="D15" s="689"/>
      <c r="E15" s="689"/>
      <c r="F15" s="689"/>
      <c r="G15" s="119"/>
      <c r="H15" s="511">
        <v>3</v>
      </c>
      <c r="I15" s="123" t="s">
        <v>113</v>
      </c>
      <c r="J15" s="397">
        <f>SUMIF('4-Basis ruimtestaat'!G:G,'3-Productie normen'!A15,'4-Basis ruimtestaat'!J:J)</f>
        <v>726.97999910354622</v>
      </c>
      <c r="L15" s="643"/>
      <c r="M15" s="171"/>
      <c r="N15" s="644"/>
    </row>
    <row r="16" spans="1:14" s="44" customFormat="1">
      <c r="A16" s="509" t="s">
        <v>287</v>
      </c>
      <c r="B16" s="687"/>
      <c r="C16" s="687"/>
      <c r="D16" s="689"/>
      <c r="E16" s="687"/>
      <c r="F16" s="687"/>
      <c r="G16" s="687"/>
      <c r="H16" s="634">
        <v>3</v>
      </c>
      <c r="I16" s="520" t="s">
        <v>113</v>
      </c>
      <c r="J16" s="397">
        <f>SUMIF('4-Basis ruimtestaat'!G:G,'3-Productie normen'!A16,'4-Basis ruimtestaat'!J:J)</f>
        <v>519.460002565384</v>
      </c>
      <c r="L16" s="124"/>
      <c r="M16" s="4"/>
      <c r="N16" s="124"/>
    </row>
    <row r="17" spans="1:14" s="44" customFormat="1">
      <c r="A17" s="642" t="s">
        <v>548</v>
      </c>
      <c r="B17" s="687"/>
      <c r="C17" s="687"/>
      <c r="D17" s="689"/>
      <c r="E17" s="687"/>
      <c r="F17" s="687"/>
      <c r="G17" s="510"/>
      <c r="H17" s="634" t="s">
        <v>1121</v>
      </c>
      <c r="I17" s="520" t="s">
        <v>113</v>
      </c>
      <c r="J17" s="397">
        <f>SUMIF('4-Basis ruimtestaat'!G:G,'3-Productie normen'!A17,'4-Basis ruimtestaat'!J:J)</f>
        <v>994.10000000000014</v>
      </c>
      <c r="L17" s="4"/>
      <c r="M17" s="4"/>
      <c r="N17" s="4"/>
    </row>
    <row r="18" spans="1:14">
      <c r="A18" s="460" t="s">
        <v>347</v>
      </c>
      <c r="B18" s="687"/>
      <c r="C18" s="689"/>
      <c r="D18" s="687"/>
      <c r="E18" s="687"/>
      <c r="F18" s="687"/>
      <c r="G18" s="119"/>
      <c r="H18" s="634" t="s">
        <v>1120</v>
      </c>
      <c r="I18" s="635" t="s">
        <v>113</v>
      </c>
      <c r="J18" s="397">
        <f>SUMIF('4-Basis ruimtestaat'!G:G,'3-Productie normen'!A18,'4-Basis ruimtestaat'!J:J)</f>
        <v>1134.6299961853026</v>
      </c>
    </row>
    <row r="19" spans="1:14">
      <c r="A19" s="460" t="s">
        <v>190</v>
      </c>
      <c r="B19" s="689"/>
      <c r="C19" s="687"/>
      <c r="D19" s="687"/>
      <c r="E19" s="687"/>
      <c r="F19" s="689"/>
      <c r="G19" s="119"/>
      <c r="H19" s="634">
        <v>4</v>
      </c>
      <c r="I19" s="635" t="s">
        <v>113</v>
      </c>
      <c r="J19" s="397">
        <f>SUMIF('4-Basis ruimtestaat'!G:G,'3-Productie normen'!A19,'4-Basis ruimtestaat'!J:J)</f>
        <v>281.65000052452086</v>
      </c>
    </row>
    <row r="20" spans="1:14">
      <c r="A20" s="122" t="s">
        <v>299</v>
      </c>
      <c r="B20" s="689"/>
      <c r="C20" s="687"/>
      <c r="D20" s="687"/>
      <c r="E20" s="687"/>
      <c r="F20" s="687"/>
      <c r="G20" s="119"/>
      <c r="H20" s="511">
        <v>4</v>
      </c>
      <c r="I20" s="123" t="s">
        <v>113</v>
      </c>
      <c r="J20" s="397">
        <f>SUMIF('4-Basis ruimtestaat'!G:G,'3-Productie normen'!A20,'4-Basis ruimtestaat'!J:J)</f>
        <v>1107.9100014114381</v>
      </c>
    </row>
    <row r="21" spans="1:14">
      <c r="A21" s="122" t="s">
        <v>221</v>
      </c>
      <c r="B21" s="687"/>
      <c r="C21" s="687"/>
      <c r="D21" s="689"/>
      <c r="E21" s="687"/>
      <c r="F21" s="687"/>
      <c r="G21" s="119"/>
      <c r="H21" s="511" t="s">
        <v>1123</v>
      </c>
      <c r="I21" s="123" t="s">
        <v>422</v>
      </c>
      <c r="J21" s="397">
        <f>SUMIF('4-Basis ruimtestaat'!G:G,'3-Productie normen'!A21,'4-Basis ruimtestaat'!J:J)</f>
        <v>16013.110036668773</v>
      </c>
      <c r="L21" s="301"/>
      <c r="M21" s="301"/>
    </row>
    <row r="22" spans="1:14">
      <c r="A22" s="460" t="s">
        <v>421</v>
      </c>
      <c r="B22" s="689"/>
      <c r="C22" s="687"/>
      <c r="D22" s="687"/>
      <c r="E22" s="687"/>
      <c r="F22" s="687"/>
      <c r="G22" s="124"/>
      <c r="H22" s="512">
        <v>6</v>
      </c>
      <c r="I22" s="123" t="s">
        <v>422</v>
      </c>
      <c r="J22" s="397">
        <f>SUMIF('4-Basis ruimtestaat'!G:G,'3-Productie normen'!A22,'4-Basis ruimtestaat'!J:J)</f>
        <v>865.11000061035156</v>
      </c>
      <c r="L22" s="301"/>
      <c r="M22" s="301"/>
    </row>
    <row r="23" spans="1:14">
      <c r="A23" s="4" t="s">
        <v>285</v>
      </c>
      <c r="B23" s="687"/>
      <c r="C23" s="687"/>
      <c r="D23" s="687"/>
      <c r="E23" s="689"/>
      <c r="F23" s="689"/>
      <c r="G23" s="124"/>
      <c r="H23" s="512" t="s">
        <v>1122</v>
      </c>
      <c r="I23" s="123" t="s">
        <v>422</v>
      </c>
      <c r="J23" s="397">
        <f>SUMIF('4-Basis ruimtestaat'!G:G,'3-Productie normen'!A23,'4-Basis ruimtestaat'!J:J)</f>
        <v>3305.8200070953367</v>
      </c>
    </row>
    <row r="24" spans="1:14">
      <c r="A24" s="122" t="s">
        <v>279</v>
      </c>
      <c r="B24" s="687"/>
      <c r="C24" s="687"/>
      <c r="D24" s="689"/>
      <c r="E24" s="687"/>
      <c r="F24" s="689"/>
      <c r="G24" s="124"/>
      <c r="H24" s="512" t="s">
        <v>1122</v>
      </c>
      <c r="I24" s="123" t="s">
        <v>422</v>
      </c>
      <c r="J24" s="397">
        <f>SUMIF('4-Basis ruimtestaat'!G:G,'3-Productie normen'!A24,'4-Basis ruimtestaat'!J:J)</f>
        <v>648.99999618530273</v>
      </c>
    </row>
    <row r="25" spans="1:14">
      <c r="A25" s="122" t="s">
        <v>280</v>
      </c>
      <c r="B25" s="687"/>
      <c r="C25" s="687"/>
      <c r="D25" s="689"/>
      <c r="E25" s="687"/>
      <c r="F25" s="689"/>
      <c r="G25" s="124"/>
      <c r="H25" s="512">
        <v>8</v>
      </c>
      <c r="I25" s="123" t="s">
        <v>113</v>
      </c>
      <c r="J25" s="397">
        <f>SUMIF('4-Basis ruimtestaat'!G:G,'3-Productie normen'!A25,'4-Basis ruimtestaat'!J:J)</f>
        <v>67.100000381469727</v>
      </c>
    </row>
    <row r="26" spans="1:14">
      <c r="A26" s="303" t="s">
        <v>349</v>
      </c>
      <c r="B26" s="689"/>
      <c r="C26" s="687"/>
      <c r="D26" s="687"/>
      <c r="E26" s="687"/>
      <c r="F26" s="687"/>
      <c r="G26" s="124"/>
      <c r="H26" s="634">
        <v>3</v>
      </c>
      <c r="I26" s="635" t="s">
        <v>113</v>
      </c>
      <c r="J26" s="397">
        <f>SUMIF('4-Basis ruimtestaat'!G:G,'3-Productie normen'!A26,'4-Basis ruimtestaat'!J:J)</f>
        <v>31.690000023841854</v>
      </c>
    </row>
    <row r="27" spans="1:14">
      <c r="A27" s="122" t="s">
        <v>380</v>
      </c>
      <c r="B27" s="687"/>
      <c r="C27" s="687"/>
      <c r="D27" s="687"/>
      <c r="E27" s="689"/>
      <c r="F27" s="130"/>
      <c r="G27" s="124"/>
      <c r="H27" s="634">
        <v>3</v>
      </c>
      <c r="I27" s="635" t="s">
        <v>113</v>
      </c>
      <c r="J27" s="397">
        <f>SUMIF('4-Basis ruimtestaat'!G:G,'3-Productie normen'!A27,'4-Basis ruimtestaat'!J:J)</f>
        <v>4374.9900215911857</v>
      </c>
    </row>
    <row r="28" spans="1:14">
      <c r="A28" s="4" t="s">
        <v>861</v>
      </c>
      <c r="B28" s="125"/>
      <c r="C28" s="683"/>
      <c r="D28" s="125"/>
      <c r="E28" s="125"/>
      <c r="F28" s="130"/>
      <c r="G28" s="124"/>
      <c r="H28" s="513"/>
      <c r="I28" s="123"/>
      <c r="J28" s="397">
        <f>SUMIF('4-Basis ruimtestaat'!G:G,'3-Productie normen'!A28,'4-Basis ruimtestaat'!J:J)</f>
        <v>137.96000057220459</v>
      </c>
    </row>
    <row r="29" spans="1:14">
      <c r="A29" s="122" t="s">
        <v>882</v>
      </c>
      <c r="B29" s="125"/>
      <c r="C29" s="683"/>
      <c r="D29" s="125"/>
      <c r="E29" s="125"/>
      <c r="F29" s="130"/>
      <c r="G29" s="124"/>
      <c r="H29" s="513"/>
      <c r="I29" s="123"/>
      <c r="J29" s="397">
        <f>SUMIF('4-Basis ruimtestaat'!G:G,'3-Productie normen'!A29,'4-Basis ruimtestaat'!J:J)</f>
        <v>2.4</v>
      </c>
    </row>
    <row r="30" spans="1:14">
      <c r="A30" s="122" t="s">
        <v>881</v>
      </c>
      <c r="B30" s="125"/>
      <c r="C30" s="683"/>
      <c r="D30" s="125"/>
      <c r="E30" s="125"/>
      <c r="F30" s="130"/>
      <c r="G30" s="124"/>
      <c r="H30" s="513"/>
      <c r="I30" s="123"/>
      <c r="J30" s="397">
        <f>SUMIF('4-Basis ruimtestaat'!G:G,'3-Productie normen'!A30,'4-Basis ruimtestaat'!J:J)</f>
        <v>5262.809993648526</v>
      </c>
    </row>
    <row r="31" spans="1:14">
      <c r="A31" s="122"/>
      <c r="B31" s="125"/>
      <c r="C31" s="683"/>
      <c r="D31" s="125"/>
      <c r="E31" s="125"/>
      <c r="F31" s="130"/>
      <c r="G31" s="124"/>
      <c r="H31" s="513"/>
      <c r="I31" s="123"/>
      <c r="J31" s="397"/>
    </row>
    <row r="32" spans="1:14">
      <c r="A32" s="398" t="s">
        <v>9</v>
      </c>
      <c r="B32" s="399"/>
      <c r="C32" s="684"/>
      <c r="D32" s="399"/>
      <c r="E32" s="399"/>
      <c r="F32" s="131"/>
      <c r="G32" s="400"/>
      <c r="H32" s="514"/>
      <c r="I32" s="401"/>
      <c r="J32" s="402">
        <f>SUM(J10:J31)</f>
        <v>45424.388067424756</v>
      </c>
    </row>
    <row r="33" spans="1:10">
      <c r="I33" s="4"/>
      <c r="J33" s="4"/>
    </row>
    <row r="34" spans="1:10">
      <c r="I34" s="4"/>
      <c r="J34" s="4"/>
    </row>
    <row r="35" spans="1:10">
      <c r="A35" s="133" t="s">
        <v>176</v>
      </c>
      <c r="B35" s="134">
        <v>2</v>
      </c>
      <c r="C35" s="685">
        <v>3</v>
      </c>
      <c r="D35" s="134">
        <v>4</v>
      </c>
      <c r="E35" s="134">
        <v>5</v>
      </c>
      <c r="F35" s="134">
        <v>6</v>
      </c>
      <c r="G35" s="124"/>
      <c r="H35" s="124"/>
    </row>
    <row r="36" spans="1:10">
      <c r="G36" s="124"/>
      <c r="H36" s="124"/>
    </row>
  </sheetData>
  <mergeCells count="1">
    <mergeCell ref="B9:F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AD1789"/>
  <sheetViews>
    <sheetView showGridLines="0" showZeros="0" zoomScaleNormal="100" zoomScalePageLayoutView="75" workbookViewId="0">
      <pane xSplit="1" ySplit="9" topLeftCell="B10" activePane="bottomRight" state="frozen"/>
      <selection activeCell="D33" sqref="D33"/>
      <selection pane="topRight" activeCell="D33" sqref="D33"/>
      <selection pane="bottomLeft" activeCell="D33" sqref="D33"/>
      <selection pane="bottomRight" activeCell="C4" sqref="C4"/>
    </sheetView>
  </sheetViews>
  <sheetFormatPr defaultColWidth="8.6640625" defaultRowHeight="14.1" customHeight="1"/>
  <cols>
    <col min="1" max="1" width="5" style="4" bestFit="1" customWidth="1"/>
    <col min="2" max="2" width="38.77734375" style="4" customWidth="1"/>
    <col min="3" max="3" width="13" style="4" customWidth="1"/>
    <col min="4" max="4" width="6.88671875" style="143" customWidth="1"/>
    <col min="5" max="5" width="10.109375" style="697" customWidth="1"/>
    <col min="6" max="6" width="42.33203125" style="4" customWidth="1"/>
    <col min="7" max="7" width="32.109375" style="4" customWidth="1"/>
    <col min="8" max="8" width="19.33203125" style="4" customWidth="1"/>
    <col min="9" max="9" width="21.6640625" style="4" customWidth="1"/>
    <col min="10" max="10" width="8" style="4" bestFit="1" customWidth="1"/>
    <col min="11" max="11" width="10.44140625" style="4" customWidth="1"/>
    <col min="12" max="14" width="10.6640625" style="4" customWidth="1"/>
    <col min="15" max="15" width="10.6640625" style="301" customWidth="1"/>
    <col min="16" max="16" width="10.6640625" style="4" customWidth="1"/>
    <col min="17" max="17" width="10.6640625" style="301" customWidth="1"/>
    <col min="18" max="18" width="10.33203125" style="409" customWidth="1"/>
    <col min="19" max="19" width="9.109375" style="681" customWidth="1"/>
    <col min="20" max="20" width="15.33203125" style="4" customWidth="1"/>
    <col min="21" max="21" width="12" style="4" bestFit="1" customWidth="1"/>
    <col min="22" max="22" width="12.44140625" style="4" customWidth="1"/>
    <col min="23" max="23" width="9.33203125" style="693" customWidth="1"/>
    <col min="24" max="24" width="35.109375" style="4" customWidth="1"/>
    <col min="25" max="25" width="3" style="4" customWidth="1"/>
    <col min="26" max="26" width="11.109375" style="4" customWidth="1"/>
    <col min="27" max="27" width="2.33203125" style="4" customWidth="1"/>
    <col min="28" max="16384" width="8.6640625" style="4"/>
  </cols>
  <sheetData>
    <row r="1" spans="1:26" ht="13.2">
      <c r="B1" s="405" t="s">
        <v>26</v>
      </c>
      <c r="E1" s="695"/>
      <c r="I1" s="475"/>
      <c r="J1" s="475"/>
      <c r="K1" s="475"/>
      <c r="L1" s="475"/>
      <c r="M1" s="475"/>
      <c r="N1" s="475"/>
      <c r="O1" s="475"/>
      <c r="P1" s="475"/>
      <c r="Q1" s="475"/>
      <c r="R1" s="731"/>
      <c r="S1" s="4"/>
    </row>
    <row r="2" spans="1:26" ht="14.1" customHeight="1">
      <c r="A2" s="144">
        <v>2</v>
      </c>
      <c r="B2" s="145"/>
      <c r="C2" s="145"/>
      <c r="D2" s="146"/>
      <c r="E2" s="695"/>
      <c r="F2" s="558"/>
      <c r="G2" s="147"/>
      <c r="H2" s="148"/>
      <c r="I2" s="148"/>
      <c r="J2" s="149"/>
      <c r="K2" s="149"/>
      <c r="L2" s="149"/>
      <c r="M2" s="149"/>
      <c r="N2" s="150"/>
      <c r="O2" s="728"/>
      <c r="P2" s="150"/>
      <c r="Q2" s="728"/>
      <c r="R2" s="408"/>
      <c r="S2" s="150"/>
      <c r="T2" s="151"/>
      <c r="U2" s="152"/>
      <c r="V2" s="153"/>
      <c r="W2" s="153"/>
      <c r="X2" s="153"/>
    </row>
    <row r="3" spans="1:26" ht="14.1" customHeight="1">
      <c r="A3" s="144">
        <v>3</v>
      </c>
      <c r="B3" s="113" t="str">
        <f>'1-Contractblad totaal'!A3</f>
        <v>Naam opdrachtgever</v>
      </c>
      <c r="C3" s="140" t="str">
        <f>'1-Contractblad totaal'!B3</f>
        <v>Elevantio</v>
      </c>
      <c r="D3" s="146"/>
      <c r="E3" s="695"/>
      <c r="F3" s="558"/>
      <c r="G3" s="558"/>
      <c r="H3" s="148"/>
      <c r="I3" s="148"/>
      <c r="J3" s="149"/>
      <c r="K3" s="149"/>
      <c r="L3" s="149"/>
      <c r="M3" s="149"/>
      <c r="N3" s="150"/>
      <c r="O3" s="728"/>
      <c r="P3" s="150"/>
      <c r="Q3" s="728"/>
      <c r="R3" s="408"/>
      <c r="S3" s="150"/>
      <c r="T3" s="151"/>
      <c r="U3" s="152"/>
      <c r="V3" s="153"/>
      <c r="W3" s="153"/>
      <c r="X3" s="153"/>
    </row>
    <row r="4" spans="1:26" ht="14.1" customHeight="1">
      <c r="A4" s="144">
        <v>4</v>
      </c>
      <c r="B4" s="113" t="str">
        <f>'1-Contractblad totaal'!A4</f>
        <v>Calculatie onderdeel</v>
      </c>
      <c r="C4" s="140" t="str">
        <f ca="1">MID(CELL("bestandsnaam",$D$9),SEARCH("]",CELL("bestandsnaam",$D$9),1)+1,256)</f>
        <v>4-Basis ruimtestaat</v>
      </c>
      <c r="D4" s="501"/>
      <c r="E4" s="696"/>
      <c r="H4" s="148"/>
      <c r="I4" s="148"/>
      <c r="J4" s="149"/>
      <c r="K4" s="149"/>
      <c r="L4" s="149"/>
      <c r="M4" s="149"/>
      <c r="N4" s="150"/>
      <c r="O4" s="728"/>
      <c r="P4" s="150"/>
      <c r="Q4" s="728"/>
      <c r="R4" s="408"/>
      <c r="S4" s="150"/>
      <c r="T4" s="151"/>
      <c r="U4" s="152"/>
      <c r="V4" s="153"/>
      <c r="W4" s="153"/>
      <c r="X4" s="153"/>
    </row>
    <row r="5" spans="1:26" ht="14.1" customHeight="1">
      <c r="A5" s="144">
        <v>5</v>
      </c>
      <c r="B5" s="113" t="str">
        <f>'1-Contractblad totaal'!A5</f>
        <v>Gebouw/plaats</v>
      </c>
      <c r="C5" s="140" t="str">
        <f>'1-Contractblad totaal'!B5</f>
        <v>Markt 1, Axel</v>
      </c>
      <c r="D5" s="501"/>
      <c r="H5" s="475"/>
      <c r="I5" s="148"/>
      <c r="J5" s="149"/>
      <c r="K5" s="149"/>
      <c r="L5" s="149"/>
      <c r="M5" s="149"/>
      <c r="N5" s="150"/>
      <c r="O5" s="728"/>
      <c r="P5" s="150"/>
      <c r="Q5" s="728"/>
      <c r="R5" s="408"/>
      <c r="S5" s="150"/>
      <c r="T5" s="151"/>
      <c r="U5" s="152"/>
      <c r="V5" s="153"/>
      <c r="W5" s="153"/>
      <c r="X5" s="153"/>
    </row>
    <row r="6" spans="1:26" ht="14.1" customHeight="1">
      <c r="A6" s="144">
        <v>6</v>
      </c>
      <c r="B6" s="113" t="str">
        <f>'1-Contractblad totaal'!A6</f>
        <v>Referentie nummer</v>
      </c>
      <c r="C6" s="140" t="str">
        <f>'1-Contractblad totaal'!B6</f>
        <v>Elevantio-EA-LK-RT-2022</v>
      </c>
      <c r="D6" s="501"/>
      <c r="E6" s="698"/>
      <c r="H6" s="148"/>
      <c r="I6" s="148"/>
      <c r="J6" s="149"/>
      <c r="K6" s="149"/>
      <c r="L6" s="149"/>
      <c r="M6" s="149"/>
      <c r="N6" s="150"/>
      <c r="O6" s="728"/>
      <c r="P6" s="150"/>
      <c r="Q6" s="728"/>
      <c r="R6" s="408"/>
      <c r="S6" s="150"/>
      <c r="T6" s="151"/>
      <c r="U6" s="152"/>
      <c r="V6" s="153"/>
      <c r="W6" s="153"/>
      <c r="X6" s="153"/>
    </row>
    <row r="7" spans="1:26" ht="12.75" customHeight="1">
      <c r="A7" s="144">
        <v>7</v>
      </c>
      <c r="B7" s="113" t="str">
        <f>'1-Contractblad totaal'!A8</f>
        <v>Naam dienstverlener</v>
      </c>
      <c r="C7" s="140">
        <f>'1-Contractblad totaal'!B8</f>
        <v>0</v>
      </c>
      <c r="D7" s="501"/>
      <c r="E7" s="698"/>
      <c r="H7" s="148"/>
      <c r="I7" s="148"/>
      <c r="J7" s="148"/>
      <c r="K7" s="148"/>
      <c r="L7" s="149"/>
      <c r="M7" s="149"/>
      <c r="N7" s="150"/>
      <c r="O7" s="728"/>
      <c r="P7" s="150"/>
      <c r="Q7" s="728"/>
      <c r="R7" s="465"/>
      <c r="S7" s="150"/>
      <c r="T7" s="151"/>
      <c r="U7" s="152"/>
      <c r="V7" s="153"/>
      <c r="W7" s="153"/>
      <c r="X7" s="153"/>
    </row>
    <row r="8" spans="1:26" ht="14.1" customHeight="1">
      <c r="A8" s="144">
        <v>8</v>
      </c>
      <c r="B8" s="147"/>
      <c r="C8" s="147"/>
      <c r="D8" s="146"/>
      <c r="E8" s="695"/>
      <c r="F8" s="147"/>
      <c r="G8" s="147"/>
      <c r="H8" s="148"/>
      <c r="I8" s="148"/>
      <c r="J8" s="149"/>
      <c r="K8" s="149"/>
      <c r="L8" s="149"/>
      <c r="M8" s="149"/>
      <c r="N8" s="150"/>
      <c r="O8" s="728"/>
      <c r="P8" s="150"/>
      <c r="Q8" s="728"/>
      <c r="R8" s="465"/>
      <c r="S8" s="150"/>
      <c r="T8" s="151"/>
      <c r="U8" s="151"/>
      <c r="V8" s="153"/>
      <c r="W8" s="153"/>
      <c r="X8" s="153"/>
    </row>
    <row r="9" spans="1:26" ht="44.1" customHeight="1">
      <c r="A9" s="144">
        <v>9</v>
      </c>
      <c r="B9" s="154" t="s">
        <v>84</v>
      </c>
      <c r="C9" s="154" t="s">
        <v>106</v>
      </c>
      <c r="D9" s="500" t="s">
        <v>85</v>
      </c>
      <c r="E9" s="699" t="s">
        <v>90</v>
      </c>
      <c r="F9" s="154" t="s">
        <v>91</v>
      </c>
      <c r="G9" s="154" t="s">
        <v>92</v>
      </c>
      <c r="H9" s="155" t="s">
        <v>93</v>
      </c>
      <c r="I9" s="581" t="s">
        <v>959</v>
      </c>
      <c r="J9" s="156" t="s">
        <v>94</v>
      </c>
      <c r="K9" s="581" t="s">
        <v>960</v>
      </c>
      <c r="L9" s="581" t="s">
        <v>961</v>
      </c>
      <c r="M9" s="581" t="s">
        <v>969</v>
      </c>
      <c r="N9" s="155" t="s">
        <v>1129</v>
      </c>
      <c r="O9" s="158" t="s">
        <v>1130</v>
      </c>
      <c r="P9" s="155" t="s">
        <v>1132</v>
      </c>
      <c r="Q9" s="158" t="s">
        <v>1133</v>
      </c>
      <c r="R9" s="157" t="s">
        <v>201</v>
      </c>
      <c r="S9" s="157" t="s">
        <v>174</v>
      </c>
      <c r="T9" s="158" t="s">
        <v>95</v>
      </c>
      <c r="U9" s="158" t="s">
        <v>110</v>
      </c>
      <c r="V9" s="459" t="s">
        <v>1126</v>
      </c>
      <c r="W9" s="410" t="s">
        <v>96</v>
      </c>
      <c r="X9" s="459" t="s">
        <v>188</v>
      </c>
      <c r="Y9" s="143"/>
      <c r="Z9" s="410" t="s">
        <v>97</v>
      </c>
    </row>
    <row r="10" spans="1:26" ht="14.1" customHeight="1">
      <c r="A10" s="144">
        <v>10</v>
      </c>
      <c r="B10" s="160" t="s">
        <v>257</v>
      </c>
      <c r="C10" s="303" t="s">
        <v>805</v>
      </c>
      <c r="D10" s="304" t="s">
        <v>98</v>
      </c>
      <c r="E10" s="694">
        <v>1</v>
      </c>
      <c r="F10" s="303" t="s">
        <v>806</v>
      </c>
      <c r="G10" s="303" t="s">
        <v>99</v>
      </c>
      <c r="H10" s="303" t="s">
        <v>563</v>
      </c>
      <c r="I10" s="582" t="str">
        <f>VLOOKUP(H10,'9a-Typen vloeren'!$A$10:$B$40,2,FALSE)</f>
        <v>n.v.t.</v>
      </c>
      <c r="J10" s="433">
        <v>10</v>
      </c>
      <c r="K10" s="433">
        <f>IF(G10="niet in onderhoud",0,IF(I10="sprayen/ conserveren",J10,0))</f>
        <v>0</v>
      </c>
      <c r="L10" s="433">
        <f>IF(G10="niet in onderhoud",0,IF(I10="schrobben",J10,0))</f>
        <v>0</v>
      </c>
      <c r="M10" s="433">
        <f>IF(G10="niet in onderhoud",0,IF(I10="Sproei/extraheren",J10,0))</f>
        <v>0</v>
      </c>
      <c r="N10" s="672"/>
      <c r="O10" s="729">
        <f>IF(N10="",0,N10*K10/'9b-Vloeronderhoud'!$F$4)</f>
        <v>0</v>
      </c>
      <c r="P10" s="672"/>
      <c r="Q10" s="729" t="e">
        <f>IF(O10="",0,P10*L10/'9b-Vloeronderhoud'!$F$6)</f>
        <v>#DIV/0!</v>
      </c>
      <c r="R10" s="449">
        <v>1</v>
      </c>
      <c r="S10" s="672">
        <v>190</v>
      </c>
      <c r="T10" s="161" t="e">
        <f t="shared" ref="T10:T73" si="0">IF(S10="nio",0,IF(S10&gt;0,S10*J10/U10,0))*R10</f>
        <v>#DIV/0!</v>
      </c>
      <c r="U10" s="162">
        <f>IF(S10="nio",0,IF(S10&gt;0,VLOOKUP(G10,'3-Productie normen'!A:K,VLOOKUP(S10,'3-Productie normen'!L:N,3,FALSE),FALSE)))</f>
        <v>0</v>
      </c>
      <c r="V10" s="162">
        <f>VLOOKUP(G10,'3-Productie normen'!A:K,10,FALSE)</f>
        <v>726.97999910354622</v>
      </c>
      <c r="W10" s="163">
        <f>VLOOKUP(G10,'3-Productie normen'!A:K,11,FALSE)</f>
        <v>0</v>
      </c>
      <c r="X10" s="163"/>
      <c r="Z10" s="129">
        <f t="shared" ref="Z10:Z73" si="1">SUM(S10:S10)*J10</f>
        <v>1900</v>
      </c>
    </row>
    <row r="11" spans="1:26" ht="14.1" customHeight="1">
      <c r="A11" s="144">
        <v>11</v>
      </c>
      <c r="B11" s="160" t="s">
        <v>257</v>
      </c>
      <c r="C11" s="303" t="s">
        <v>805</v>
      </c>
      <c r="D11" s="304" t="s">
        <v>98</v>
      </c>
      <c r="E11" s="694">
        <v>2</v>
      </c>
      <c r="F11" s="303" t="s">
        <v>288</v>
      </c>
      <c r="G11" s="303" t="s">
        <v>862</v>
      </c>
      <c r="H11" s="303" t="s">
        <v>335</v>
      </c>
      <c r="I11" s="582" t="str">
        <f>VLOOKUP(H11,'9a-Typen vloeren'!$A$10:$B$40,2,FALSE)</f>
        <v>Schrobben</v>
      </c>
      <c r="J11" s="433">
        <v>131</v>
      </c>
      <c r="K11" s="433">
        <f t="shared" ref="K11:K74" si="2">IF(G11="niet in onderhoud",0,IF(I11="sprayen/ conserveren",J11,0))</f>
        <v>0</v>
      </c>
      <c r="L11" s="433">
        <f t="shared" ref="L11:L74" si="3">IF(G11="niet in onderhoud",0,IF(I11="schrobben",J11,0))</f>
        <v>131</v>
      </c>
      <c r="M11" s="433">
        <f t="shared" ref="M11:M74" si="4">IF(G11="niet in onderhoud",0,IF(I11="Sproei/extraheren",J11,0))</f>
        <v>0</v>
      </c>
      <c r="N11" s="672"/>
      <c r="O11" s="729">
        <f>IF(N11="",0,N11*K11/'9b-Vloeronderhoud'!$F$4)</f>
        <v>0</v>
      </c>
      <c r="P11" s="672">
        <v>3</v>
      </c>
      <c r="Q11" s="729" t="e">
        <f>IF(O11="",0,P11*L11/'9b-Vloeronderhoud'!$F$6)</f>
        <v>#DIV/0!</v>
      </c>
      <c r="R11" s="449">
        <v>1</v>
      </c>
      <c r="S11" s="672">
        <v>120</v>
      </c>
      <c r="T11" s="161" t="e">
        <f t="shared" si="0"/>
        <v>#DIV/0!</v>
      </c>
      <c r="U11" s="162">
        <f>IF(S11="nio",0,IF(S11&gt;0,VLOOKUP(G11,'3-Productie normen'!A:K,VLOOKUP(S11,'3-Productie normen'!L:N,3,FALSE),FALSE)))</f>
        <v>0</v>
      </c>
      <c r="V11" s="162">
        <f>VLOOKUP(G11,'3-Productie normen'!A:K,10,FALSE)</f>
        <v>4374.9900215911857</v>
      </c>
      <c r="W11" s="163">
        <f>VLOOKUP(G11,'3-Productie normen'!A:K,11,FALSE)</f>
        <v>0</v>
      </c>
      <c r="X11" s="163"/>
      <c r="Z11" s="129">
        <f t="shared" si="1"/>
        <v>15720</v>
      </c>
    </row>
    <row r="12" spans="1:26" ht="14.1" customHeight="1">
      <c r="A12" s="144">
        <v>12</v>
      </c>
      <c r="B12" s="160" t="s">
        <v>257</v>
      </c>
      <c r="C12" s="303" t="s">
        <v>805</v>
      </c>
      <c r="D12" s="304" t="s">
        <v>98</v>
      </c>
      <c r="E12" s="694">
        <v>3</v>
      </c>
      <c r="F12" s="303" t="s">
        <v>807</v>
      </c>
      <c r="G12" s="122" t="s">
        <v>221</v>
      </c>
      <c r="H12" s="303" t="s">
        <v>335</v>
      </c>
      <c r="I12" s="582" t="str">
        <f>VLOOKUP(H12,'9a-Typen vloeren'!$A$10:$B$40,2,FALSE)</f>
        <v>Schrobben</v>
      </c>
      <c r="J12" s="433">
        <v>15.9</v>
      </c>
      <c r="K12" s="433">
        <f t="shared" si="2"/>
        <v>0</v>
      </c>
      <c r="L12" s="433">
        <f t="shared" si="3"/>
        <v>15.9</v>
      </c>
      <c r="M12" s="433">
        <f t="shared" si="4"/>
        <v>0</v>
      </c>
      <c r="N12" s="672"/>
      <c r="O12" s="729">
        <f>IF(N12="",0,N12*K12/'9b-Vloeronderhoud'!$F$4)</f>
        <v>0</v>
      </c>
      <c r="P12" s="672"/>
      <c r="Q12" s="729" t="e">
        <f>IF(O12="",0,P12*L12/'9b-Vloeronderhoud'!$F$6)</f>
        <v>#DIV/0!</v>
      </c>
      <c r="R12" s="449">
        <v>1</v>
      </c>
      <c r="S12" s="672">
        <v>80</v>
      </c>
      <c r="T12" s="161" t="e">
        <f t="shared" si="0"/>
        <v>#DIV/0!</v>
      </c>
      <c r="U12" s="162">
        <f>IF(S12="nio",0,IF(S12&gt;0,VLOOKUP(G12,'3-Productie normen'!A:K,VLOOKUP(S12,'3-Productie normen'!L:N,3,FALSE),FALSE)))</f>
        <v>0</v>
      </c>
      <c r="V12" s="162">
        <f>VLOOKUP(G12,'3-Productie normen'!A:K,10,FALSE)</f>
        <v>16013.110036668773</v>
      </c>
      <c r="W12" s="163">
        <f>VLOOKUP(G12,'3-Productie normen'!A:K,11,FALSE)</f>
        <v>0</v>
      </c>
      <c r="X12" s="163"/>
      <c r="Z12" s="129">
        <f t="shared" si="1"/>
        <v>1272</v>
      </c>
    </row>
    <row r="13" spans="1:26" ht="14.1" customHeight="1">
      <c r="A13" s="144">
        <v>13</v>
      </c>
      <c r="B13" s="160" t="s">
        <v>257</v>
      </c>
      <c r="C13" s="303" t="s">
        <v>805</v>
      </c>
      <c r="D13" s="304" t="s">
        <v>98</v>
      </c>
      <c r="E13" s="694">
        <v>4</v>
      </c>
      <c r="F13" s="303" t="s">
        <v>808</v>
      </c>
      <c r="G13" s="460" t="s">
        <v>221</v>
      </c>
      <c r="H13" s="303" t="s">
        <v>335</v>
      </c>
      <c r="I13" s="582" t="str">
        <f>VLOOKUP(H13,'9a-Typen vloeren'!$A$10:$B$40,2,FALSE)</f>
        <v>Schrobben</v>
      </c>
      <c r="J13" s="433">
        <v>57.1</v>
      </c>
      <c r="K13" s="433">
        <f t="shared" si="2"/>
        <v>0</v>
      </c>
      <c r="L13" s="433">
        <f t="shared" si="3"/>
        <v>57.1</v>
      </c>
      <c r="M13" s="433">
        <f t="shared" si="4"/>
        <v>0</v>
      </c>
      <c r="N13" s="672"/>
      <c r="O13" s="729">
        <f>IF(N13="",0,N13*K13/'9b-Vloeronderhoud'!$F$4)</f>
        <v>0</v>
      </c>
      <c r="P13" s="672"/>
      <c r="Q13" s="729" t="e">
        <f>IF(O13="",0,P13*L13/'9b-Vloeronderhoud'!$F$6)</f>
        <v>#DIV/0!</v>
      </c>
      <c r="R13" s="449">
        <v>1</v>
      </c>
      <c r="S13" s="672">
        <v>80</v>
      </c>
      <c r="T13" s="161" t="e">
        <f t="shared" si="0"/>
        <v>#DIV/0!</v>
      </c>
      <c r="U13" s="162">
        <f>IF(S13="nio",0,IF(S13&gt;0,VLOOKUP(G13,'3-Productie normen'!A:K,VLOOKUP(S13,'3-Productie normen'!L:N,3,FALSE),FALSE)))</f>
        <v>0</v>
      </c>
      <c r="V13" s="162">
        <f>VLOOKUP(G13,'3-Productie normen'!A:K,10,FALSE)</f>
        <v>16013.110036668773</v>
      </c>
      <c r="W13" s="163">
        <f>VLOOKUP(G13,'3-Productie normen'!A:K,11,FALSE)</f>
        <v>0</v>
      </c>
      <c r="X13" s="163"/>
      <c r="Z13" s="129">
        <f t="shared" si="1"/>
        <v>4568</v>
      </c>
    </row>
    <row r="14" spans="1:26" ht="14.1" customHeight="1">
      <c r="A14" s="144">
        <v>14</v>
      </c>
      <c r="B14" s="160" t="s">
        <v>257</v>
      </c>
      <c r="C14" s="303" t="s">
        <v>805</v>
      </c>
      <c r="D14" s="304" t="s">
        <v>98</v>
      </c>
      <c r="E14" s="694">
        <v>5</v>
      </c>
      <c r="F14" s="303" t="s">
        <v>404</v>
      </c>
      <c r="G14" s="546" t="s">
        <v>286</v>
      </c>
      <c r="H14" s="303" t="s">
        <v>335</v>
      </c>
      <c r="I14" s="582" t="str">
        <f>VLOOKUP(H14,'9a-Typen vloeren'!$A$10:$B$40,2,FALSE)</f>
        <v>Schrobben</v>
      </c>
      <c r="J14" s="433">
        <v>41.4</v>
      </c>
      <c r="K14" s="433">
        <f t="shared" si="2"/>
        <v>0</v>
      </c>
      <c r="L14" s="433">
        <f t="shared" si="3"/>
        <v>41.4</v>
      </c>
      <c r="M14" s="433">
        <f t="shared" si="4"/>
        <v>0</v>
      </c>
      <c r="N14" s="672"/>
      <c r="O14" s="729">
        <f>IF(N14="",0,N14*K14/'9b-Vloeronderhoud'!$F$4)</f>
        <v>0</v>
      </c>
      <c r="P14" s="672">
        <v>3</v>
      </c>
      <c r="Q14" s="729" t="e">
        <f>IF(O14="",0,P14*L14/'9b-Vloeronderhoud'!$F$6)</f>
        <v>#DIV/0!</v>
      </c>
      <c r="R14" s="449">
        <v>1</v>
      </c>
      <c r="S14" s="672">
        <v>120</v>
      </c>
      <c r="T14" s="161" t="e">
        <f t="shared" si="0"/>
        <v>#DIV/0!</v>
      </c>
      <c r="U14" s="162">
        <f>IF(S14="nio",0,IF(S14&gt;0,VLOOKUP(G14,'3-Productie normen'!A:K,VLOOKUP(S14,'3-Productie normen'!L:N,3,FALSE),FALSE)))</f>
        <v>0</v>
      </c>
      <c r="V14" s="162">
        <f>VLOOKUP(G14,'3-Productie normen'!A:K,10,FALSE)</f>
        <v>6152.9500017547598</v>
      </c>
      <c r="W14" s="163">
        <f>VLOOKUP(G14,'3-Productie normen'!A:K,11,FALSE)</f>
        <v>0</v>
      </c>
      <c r="X14" s="163"/>
      <c r="Z14" s="129">
        <f t="shared" si="1"/>
        <v>4968</v>
      </c>
    </row>
    <row r="15" spans="1:26" ht="14.1" customHeight="1">
      <c r="A15" s="144">
        <v>15</v>
      </c>
      <c r="B15" s="160" t="s">
        <v>257</v>
      </c>
      <c r="C15" s="303" t="s">
        <v>805</v>
      </c>
      <c r="D15" s="304" t="s">
        <v>98</v>
      </c>
      <c r="E15" s="694">
        <v>6</v>
      </c>
      <c r="F15" s="303" t="s">
        <v>809</v>
      </c>
      <c r="G15" s="460" t="s">
        <v>286</v>
      </c>
      <c r="H15" s="303" t="s">
        <v>563</v>
      </c>
      <c r="I15" s="582" t="str">
        <f>VLOOKUP(H15,'9a-Typen vloeren'!$A$10:$B$40,2,FALSE)</f>
        <v>n.v.t.</v>
      </c>
      <c r="J15" s="433">
        <v>7.2</v>
      </c>
      <c r="K15" s="433">
        <f t="shared" si="2"/>
        <v>0</v>
      </c>
      <c r="L15" s="433">
        <f t="shared" si="3"/>
        <v>0</v>
      </c>
      <c r="M15" s="433">
        <f t="shared" si="4"/>
        <v>0</v>
      </c>
      <c r="N15" s="672"/>
      <c r="O15" s="729">
        <f>IF(N15="",0,N15*K15/'9b-Vloeronderhoud'!$F$4)</f>
        <v>0</v>
      </c>
      <c r="P15" s="672"/>
      <c r="Q15" s="729" t="e">
        <f>IF(O15="",0,P15*L15/'9b-Vloeronderhoud'!$F$6)</f>
        <v>#DIV/0!</v>
      </c>
      <c r="R15" s="449">
        <v>1</v>
      </c>
      <c r="S15" s="672">
        <v>120</v>
      </c>
      <c r="T15" s="161" t="e">
        <f t="shared" si="0"/>
        <v>#DIV/0!</v>
      </c>
      <c r="U15" s="162">
        <f>IF(S15="nio",0,IF(S15&gt;0,VLOOKUP(G15,'3-Productie normen'!A:K,VLOOKUP(S15,'3-Productie normen'!L:N,3,FALSE),FALSE)))</f>
        <v>0</v>
      </c>
      <c r="V15" s="162">
        <f>VLOOKUP(G15,'3-Productie normen'!A:K,10,FALSE)</f>
        <v>6152.9500017547598</v>
      </c>
      <c r="W15" s="163">
        <f>VLOOKUP(G15,'3-Productie normen'!A:K,11,FALSE)</f>
        <v>0</v>
      </c>
      <c r="X15" s="163"/>
      <c r="Z15" s="129">
        <f t="shared" si="1"/>
        <v>864</v>
      </c>
    </row>
    <row r="16" spans="1:26" ht="14.1" customHeight="1">
      <c r="A16" s="144">
        <v>16</v>
      </c>
      <c r="B16" s="160" t="s">
        <v>257</v>
      </c>
      <c r="C16" s="303" t="s">
        <v>805</v>
      </c>
      <c r="D16" s="304" t="s">
        <v>98</v>
      </c>
      <c r="E16" s="694">
        <v>7</v>
      </c>
      <c r="F16" s="303" t="s">
        <v>267</v>
      </c>
      <c r="G16" s="122" t="s">
        <v>18</v>
      </c>
      <c r="H16" s="303" t="s">
        <v>967</v>
      </c>
      <c r="I16" s="582" t="str">
        <f>VLOOKUP(H16,'9a-Typen vloeren'!$A$10:$B$40,2,FALSE)</f>
        <v>zie kwaliteitsontwerp</v>
      </c>
      <c r="J16" s="433">
        <v>6</v>
      </c>
      <c r="K16" s="433">
        <f t="shared" si="2"/>
        <v>0</v>
      </c>
      <c r="L16" s="433">
        <f t="shared" si="3"/>
        <v>0</v>
      </c>
      <c r="M16" s="433">
        <f t="shared" si="4"/>
        <v>0</v>
      </c>
      <c r="N16" s="672"/>
      <c r="O16" s="729">
        <f>IF(N16="",0,N16*K16/'9b-Vloeronderhoud'!$F$4)</f>
        <v>0</v>
      </c>
      <c r="P16" s="672"/>
      <c r="Q16" s="729" t="e">
        <f>IF(O16="",0,P16*L16/'9b-Vloeronderhoud'!$F$6)</f>
        <v>#DIV/0!</v>
      </c>
      <c r="R16" s="449">
        <v>1</v>
      </c>
      <c r="S16" s="672">
        <v>190</v>
      </c>
      <c r="T16" s="161" t="e">
        <f t="shared" si="0"/>
        <v>#DIV/0!</v>
      </c>
      <c r="U16" s="162">
        <f>IF(S16="nio",0,IF(S16&gt;0,VLOOKUP(G16,'3-Productie normen'!A:K,VLOOKUP(S16,'3-Productie normen'!L:N,3,FALSE),FALSE)))</f>
        <v>0</v>
      </c>
      <c r="V16" s="162">
        <f>VLOOKUP(G16,'3-Productie normen'!A:K,10,FALSE)</f>
        <v>1859.5880019121171</v>
      </c>
      <c r="W16" s="163">
        <f>VLOOKUP(G16,'3-Productie normen'!A:K,11,FALSE)</f>
        <v>0</v>
      </c>
      <c r="X16" s="163"/>
      <c r="Z16" s="129">
        <f t="shared" si="1"/>
        <v>1140</v>
      </c>
    </row>
    <row r="17" spans="1:26" ht="14.1" customHeight="1">
      <c r="A17" s="144">
        <v>17</v>
      </c>
      <c r="B17" s="160" t="s">
        <v>257</v>
      </c>
      <c r="C17" s="303" t="s">
        <v>805</v>
      </c>
      <c r="D17" s="304" t="s">
        <v>98</v>
      </c>
      <c r="E17" s="694" t="s">
        <v>810</v>
      </c>
      <c r="F17" s="303" t="s">
        <v>811</v>
      </c>
      <c r="G17" s="126" t="s">
        <v>287</v>
      </c>
      <c r="H17" s="303" t="s">
        <v>335</v>
      </c>
      <c r="I17" s="582" t="str">
        <f>VLOOKUP(H17,'9a-Typen vloeren'!$A$10:$B$40,2,FALSE)</f>
        <v>Schrobben</v>
      </c>
      <c r="J17" s="433">
        <v>4.3499999999999996</v>
      </c>
      <c r="K17" s="433">
        <f t="shared" si="2"/>
        <v>0</v>
      </c>
      <c r="L17" s="433">
        <f t="shared" si="3"/>
        <v>4.3499999999999996</v>
      </c>
      <c r="M17" s="433">
        <f t="shared" si="4"/>
        <v>0</v>
      </c>
      <c r="N17" s="672"/>
      <c r="O17" s="729">
        <f>IF(N17="",0,N17*K17/'9b-Vloeronderhoud'!$F$4)</f>
        <v>0</v>
      </c>
      <c r="P17" s="672"/>
      <c r="Q17" s="729" t="e">
        <f>IF(O17="",0,P17*L17/'9b-Vloeronderhoud'!$F$6)</f>
        <v>#DIV/0!</v>
      </c>
      <c r="R17" s="449">
        <v>1</v>
      </c>
      <c r="S17" s="672">
        <v>80</v>
      </c>
      <c r="T17" s="161" t="e">
        <f t="shared" si="0"/>
        <v>#DIV/0!</v>
      </c>
      <c r="U17" s="162">
        <f>IF(S17="nio",0,IF(S17&gt;0,VLOOKUP(G17,'3-Productie normen'!A:K,VLOOKUP(S17,'3-Productie normen'!L:N,3,FALSE),FALSE)))</f>
        <v>0</v>
      </c>
      <c r="V17" s="162">
        <f>VLOOKUP(G17,'3-Productie normen'!A:K,10,FALSE)</f>
        <v>519.460002565384</v>
      </c>
      <c r="W17" s="163">
        <f>VLOOKUP(G17,'3-Productie normen'!A:K,11,FALSE)</f>
        <v>0</v>
      </c>
      <c r="X17" s="163"/>
      <c r="Z17" s="129">
        <f t="shared" si="1"/>
        <v>348</v>
      </c>
    </row>
    <row r="18" spans="1:26" ht="14.1" customHeight="1">
      <c r="A18" s="144">
        <v>18</v>
      </c>
      <c r="B18" s="160" t="s">
        <v>257</v>
      </c>
      <c r="C18" s="303" t="s">
        <v>805</v>
      </c>
      <c r="D18" s="304" t="s">
        <v>98</v>
      </c>
      <c r="E18" s="694">
        <v>26</v>
      </c>
      <c r="F18" s="538" t="s">
        <v>812</v>
      </c>
      <c r="G18" s="460" t="s">
        <v>881</v>
      </c>
      <c r="H18" s="303" t="s">
        <v>335</v>
      </c>
      <c r="I18" s="582" t="str">
        <f>VLOOKUP(H18,'9a-Typen vloeren'!$A$10:$B$40,2,FALSE)</f>
        <v>Schrobben</v>
      </c>
      <c r="J18" s="433">
        <v>7.7</v>
      </c>
      <c r="K18" s="433">
        <f t="shared" si="2"/>
        <v>0</v>
      </c>
      <c r="L18" s="433">
        <f t="shared" si="3"/>
        <v>0</v>
      </c>
      <c r="M18" s="433">
        <f t="shared" si="4"/>
        <v>0</v>
      </c>
      <c r="N18" s="672"/>
      <c r="O18" s="729">
        <f>IF(N18="",0,N18*K18/'9b-Vloeronderhoud'!$F$4)</f>
        <v>0</v>
      </c>
      <c r="P18" s="672"/>
      <c r="Q18" s="729" t="e">
        <f>IF(O18="",0,P18*L18/'9b-Vloeronderhoud'!$F$6)</f>
        <v>#DIV/0!</v>
      </c>
      <c r="R18" s="449">
        <v>1</v>
      </c>
      <c r="S18" s="672" t="s">
        <v>179</v>
      </c>
      <c r="T18" s="161">
        <f t="shared" si="0"/>
        <v>0</v>
      </c>
      <c r="U18" s="162">
        <f>IF(S18="nio",0,IF(S18&gt;0,VLOOKUP(G18,'3-Productie normen'!A:K,VLOOKUP(S18,'3-Productie normen'!L:N,3,FALSE),FALSE)))</f>
        <v>0</v>
      </c>
      <c r="V18" s="162">
        <f>VLOOKUP(G18,'3-Productie normen'!A:K,10,FALSE)</f>
        <v>5262.809993648526</v>
      </c>
      <c r="W18" s="163">
        <f>VLOOKUP(G18,'3-Productie normen'!A:K,11,FALSE)</f>
        <v>0</v>
      </c>
      <c r="X18" s="163"/>
      <c r="Z18" s="129">
        <f t="shared" si="1"/>
        <v>0</v>
      </c>
    </row>
    <row r="19" spans="1:26" ht="14.1" customHeight="1">
      <c r="A19" s="144">
        <v>19</v>
      </c>
      <c r="B19" s="160" t="s">
        <v>257</v>
      </c>
      <c r="C19" s="303" t="s">
        <v>805</v>
      </c>
      <c r="D19" s="304" t="s">
        <v>98</v>
      </c>
      <c r="E19" s="694">
        <v>27</v>
      </c>
      <c r="F19" s="494" t="s">
        <v>813</v>
      </c>
      <c r="G19" s="460" t="s">
        <v>221</v>
      </c>
      <c r="H19" s="184" t="s">
        <v>335</v>
      </c>
      <c r="I19" s="582" t="str">
        <f>VLOOKUP(H19,'9a-Typen vloeren'!$A$10:$B$40,2,FALSE)</f>
        <v>Schrobben</v>
      </c>
      <c r="J19" s="433">
        <v>63.4</v>
      </c>
      <c r="K19" s="433">
        <f t="shared" si="2"/>
        <v>0</v>
      </c>
      <c r="L19" s="433">
        <f t="shared" si="3"/>
        <v>63.4</v>
      </c>
      <c r="M19" s="433">
        <f t="shared" si="4"/>
        <v>0</v>
      </c>
      <c r="N19" s="672"/>
      <c r="O19" s="729">
        <f>IF(N19="",0,N19*K19/'9b-Vloeronderhoud'!$F$4)</f>
        <v>0</v>
      </c>
      <c r="P19" s="672"/>
      <c r="Q19" s="729" t="e">
        <f>IF(O19="",0,P19*L19/'9b-Vloeronderhoud'!$F$6)</f>
        <v>#DIV/0!</v>
      </c>
      <c r="R19" s="449">
        <v>1</v>
      </c>
      <c r="S19" s="672">
        <v>80</v>
      </c>
      <c r="T19" s="161" t="e">
        <f t="shared" si="0"/>
        <v>#DIV/0!</v>
      </c>
      <c r="U19" s="162">
        <f>IF(S19="nio",0,IF(S19&gt;0,VLOOKUP(G19,'3-Productie normen'!A:K,VLOOKUP(S19,'3-Productie normen'!L:N,3,FALSE),FALSE)))</f>
        <v>0</v>
      </c>
      <c r="V19" s="162">
        <f>VLOOKUP(G19,'3-Productie normen'!A:K,10,FALSE)</f>
        <v>16013.110036668773</v>
      </c>
      <c r="W19" s="163">
        <f>VLOOKUP(G19,'3-Productie normen'!A:K,11,FALSE)</f>
        <v>0</v>
      </c>
      <c r="X19" s="163"/>
      <c r="Z19" s="129">
        <f t="shared" si="1"/>
        <v>5072</v>
      </c>
    </row>
    <row r="20" spans="1:26" ht="14.1" customHeight="1">
      <c r="A20" s="144">
        <v>20</v>
      </c>
      <c r="B20" s="160" t="s">
        <v>257</v>
      </c>
      <c r="C20" s="303" t="s">
        <v>805</v>
      </c>
      <c r="D20" s="304" t="s">
        <v>98</v>
      </c>
      <c r="E20" s="700">
        <v>28</v>
      </c>
      <c r="F20" s="541" t="s">
        <v>452</v>
      </c>
      <c r="G20" s="460" t="s">
        <v>18</v>
      </c>
      <c r="H20" s="303" t="s">
        <v>955</v>
      </c>
      <c r="I20" s="582" t="str">
        <f>VLOOKUP(H20,'9a-Typen vloeren'!$A$10:$B$40,2,FALSE)</f>
        <v>zie kwaliteitsontwerp</v>
      </c>
      <c r="J20" s="433">
        <v>5.3</v>
      </c>
      <c r="K20" s="433">
        <f t="shared" si="2"/>
        <v>0</v>
      </c>
      <c r="L20" s="433">
        <f t="shared" si="3"/>
        <v>0</v>
      </c>
      <c r="M20" s="433">
        <f t="shared" si="4"/>
        <v>0</v>
      </c>
      <c r="N20" s="672"/>
      <c r="O20" s="729">
        <f>IF(N20="",0,N20*K20/'9b-Vloeronderhoud'!$F$4)</f>
        <v>0</v>
      </c>
      <c r="P20" s="672"/>
      <c r="Q20" s="729" t="e">
        <f>IF(O20="",0,P20*L20/'9b-Vloeronderhoud'!$F$6)</f>
        <v>#DIV/0!</v>
      </c>
      <c r="R20" s="449">
        <v>1</v>
      </c>
      <c r="S20" s="672">
        <v>190</v>
      </c>
      <c r="T20" s="161" t="e">
        <f t="shared" si="0"/>
        <v>#DIV/0!</v>
      </c>
      <c r="U20" s="162">
        <f>IF(S20="nio",0,IF(S20&gt;0,VLOOKUP(G20,'3-Productie normen'!A:K,VLOOKUP(S20,'3-Productie normen'!L:N,3,FALSE),FALSE)))</f>
        <v>0</v>
      </c>
      <c r="V20" s="162">
        <f>VLOOKUP(G20,'3-Productie normen'!A:K,10,FALSE)</f>
        <v>1859.5880019121171</v>
      </c>
      <c r="W20" s="163">
        <f>VLOOKUP(G20,'3-Productie normen'!A:K,11,FALSE)</f>
        <v>0</v>
      </c>
      <c r="X20" s="163"/>
      <c r="Z20" s="129">
        <f t="shared" si="1"/>
        <v>1007</v>
      </c>
    </row>
    <row r="21" spans="1:26" ht="14.1" customHeight="1">
      <c r="A21" s="144">
        <v>21</v>
      </c>
      <c r="B21" s="160" t="s">
        <v>257</v>
      </c>
      <c r="C21" s="303" t="s">
        <v>805</v>
      </c>
      <c r="D21" s="304" t="s">
        <v>98</v>
      </c>
      <c r="E21" s="694">
        <v>29</v>
      </c>
      <c r="F21" s="303" t="s">
        <v>814</v>
      </c>
      <c r="G21" s="460" t="s">
        <v>881</v>
      </c>
      <c r="H21" s="303" t="s">
        <v>335</v>
      </c>
      <c r="I21" s="582" t="str">
        <f>VLOOKUP(H21,'9a-Typen vloeren'!$A$10:$B$40,2,FALSE)</f>
        <v>Schrobben</v>
      </c>
      <c r="J21" s="433">
        <v>5.9</v>
      </c>
      <c r="K21" s="433">
        <f t="shared" si="2"/>
        <v>0</v>
      </c>
      <c r="L21" s="433">
        <f t="shared" si="3"/>
        <v>0</v>
      </c>
      <c r="M21" s="433">
        <f t="shared" si="4"/>
        <v>0</v>
      </c>
      <c r="N21" s="672"/>
      <c r="O21" s="729">
        <f>IF(N21="",0,N21*K21/'9b-Vloeronderhoud'!$F$4)</f>
        <v>0</v>
      </c>
      <c r="P21" s="672"/>
      <c r="Q21" s="729" t="e">
        <f>IF(O21="",0,P21*L21/'9b-Vloeronderhoud'!$F$6)</f>
        <v>#DIV/0!</v>
      </c>
      <c r="R21" s="449">
        <v>1</v>
      </c>
      <c r="S21" s="672" t="s">
        <v>179</v>
      </c>
      <c r="T21" s="161">
        <f t="shared" si="0"/>
        <v>0</v>
      </c>
      <c r="U21" s="162">
        <f>IF(S21="nio",0,IF(S21&gt;0,VLOOKUP(G21,'3-Productie normen'!A:K,VLOOKUP(S21,'3-Productie normen'!L:N,3,FALSE),FALSE)))</f>
        <v>0</v>
      </c>
      <c r="V21" s="162">
        <f>VLOOKUP(G21,'3-Productie normen'!A:K,10,FALSE)</f>
        <v>5262.809993648526</v>
      </c>
      <c r="W21" s="163">
        <f>VLOOKUP(G21,'3-Productie normen'!A:K,11,FALSE)</f>
        <v>0</v>
      </c>
      <c r="X21" s="163"/>
      <c r="Z21" s="129">
        <f t="shared" si="1"/>
        <v>0</v>
      </c>
    </row>
    <row r="22" spans="1:26" ht="14.1" customHeight="1">
      <c r="A22" s="144">
        <v>22</v>
      </c>
      <c r="B22" s="160" t="s">
        <v>257</v>
      </c>
      <c r="C22" s="303" t="s">
        <v>805</v>
      </c>
      <c r="D22" s="304" t="s">
        <v>98</v>
      </c>
      <c r="E22" s="694">
        <v>30</v>
      </c>
      <c r="F22" s="303" t="s">
        <v>815</v>
      </c>
      <c r="G22" s="460" t="s">
        <v>881</v>
      </c>
      <c r="H22" s="303" t="s">
        <v>335</v>
      </c>
      <c r="I22" s="582" t="str">
        <f>VLOOKUP(H22,'9a-Typen vloeren'!$A$10:$B$40,2,FALSE)</f>
        <v>Schrobben</v>
      </c>
      <c r="J22" s="433">
        <v>4.3</v>
      </c>
      <c r="K22" s="433">
        <f t="shared" si="2"/>
        <v>0</v>
      </c>
      <c r="L22" s="433">
        <f t="shared" si="3"/>
        <v>0</v>
      </c>
      <c r="M22" s="433">
        <f t="shared" si="4"/>
        <v>0</v>
      </c>
      <c r="N22" s="672"/>
      <c r="O22" s="729">
        <f>IF(N22="",0,N22*K22/'9b-Vloeronderhoud'!$F$4)</f>
        <v>0</v>
      </c>
      <c r="P22" s="672"/>
      <c r="Q22" s="729" t="e">
        <f>IF(O22="",0,P22*L22/'9b-Vloeronderhoud'!$F$6)</f>
        <v>#DIV/0!</v>
      </c>
      <c r="R22" s="449">
        <v>1</v>
      </c>
      <c r="S22" s="672" t="s">
        <v>179</v>
      </c>
      <c r="T22" s="161">
        <f t="shared" si="0"/>
        <v>0</v>
      </c>
      <c r="U22" s="162">
        <f>IF(S22="nio",0,IF(S22&gt;0,VLOOKUP(G22,'3-Productie normen'!A:K,VLOOKUP(S22,'3-Productie normen'!L:N,3,FALSE),FALSE)))</f>
        <v>0</v>
      </c>
      <c r="V22" s="162">
        <f>VLOOKUP(G22,'3-Productie normen'!A:K,10,FALSE)</f>
        <v>5262.809993648526</v>
      </c>
      <c r="W22" s="163">
        <f>VLOOKUP(G22,'3-Productie normen'!A:K,11,FALSE)</f>
        <v>0</v>
      </c>
      <c r="X22" s="163"/>
      <c r="Z22" s="129">
        <f t="shared" si="1"/>
        <v>0</v>
      </c>
    </row>
    <row r="23" spans="1:26" ht="14.1" customHeight="1">
      <c r="A23" s="144">
        <v>23</v>
      </c>
      <c r="B23" s="160" t="s">
        <v>257</v>
      </c>
      <c r="C23" s="303" t="s">
        <v>805</v>
      </c>
      <c r="D23" s="304" t="s">
        <v>98</v>
      </c>
      <c r="E23" s="694">
        <v>31</v>
      </c>
      <c r="F23" s="303" t="s">
        <v>807</v>
      </c>
      <c r="G23" s="546" t="s">
        <v>221</v>
      </c>
      <c r="H23" s="303" t="s">
        <v>335</v>
      </c>
      <c r="I23" s="582" t="str">
        <f>VLOOKUP(H23,'9a-Typen vloeren'!$A$10:$B$40,2,FALSE)</f>
        <v>Schrobben</v>
      </c>
      <c r="J23" s="433">
        <v>9.5</v>
      </c>
      <c r="K23" s="433">
        <f t="shared" si="2"/>
        <v>0</v>
      </c>
      <c r="L23" s="433">
        <f t="shared" si="3"/>
        <v>9.5</v>
      </c>
      <c r="M23" s="433">
        <f t="shared" si="4"/>
        <v>0</v>
      </c>
      <c r="N23" s="672"/>
      <c r="O23" s="729">
        <f>IF(N23="",0,N23*K23/'9b-Vloeronderhoud'!$F$4)</f>
        <v>0</v>
      </c>
      <c r="P23" s="672"/>
      <c r="Q23" s="729" t="e">
        <f>IF(O23="",0,P23*L23/'9b-Vloeronderhoud'!$F$6)</f>
        <v>#DIV/0!</v>
      </c>
      <c r="R23" s="449">
        <v>1</v>
      </c>
      <c r="S23" s="672">
        <v>80</v>
      </c>
      <c r="T23" s="161" t="e">
        <f t="shared" si="0"/>
        <v>#DIV/0!</v>
      </c>
      <c r="U23" s="162">
        <f>IF(S23="nio",0,IF(S23&gt;0,VLOOKUP(G23,'3-Productie normen'!A:K,VLOOKUP(S23,'3-Productie normen'!L:N,3,FALSE),FALSE)))</f>
        <v>0</v>
      </c>
      <c r="V23" s="162">
        <f>VLOOKUP(G23,'3-Productie normen'!A:K,10,FALSE)</f>
        <v>16013.110036668773</v>
      </c>
      <c r="W23" s="163">
        <f>VLOOKUP(G23,'3-Productie normen'!A:K,11,FALSE)</f>
        <v>0</v>
      </c>
      <c r="X23" s="163"/>
      <c r="Z23" s="129">
        <f t="shared" si="1"/>
        <v>760</v>
      </c>
    </row>
    <row r="24" spans="1:26" ht="14.1" customHeight="1">
      <c r="A24" s="144">
        <v>24</v>
      </c>
      <c r="B24" s="160" t="s">
        <v>257</v>
      </c>
      <c r="C24" s="303" t="s">
        <v>805</v>
      </c>
      <c r="D24" s="304" t="s">
        <v>98</v>
      </c>
      <c r="E24" s="694">
        <v>32</v>
      </c>
      <c r="F24" s="303" t="s">
        <v>574</v>
      </c>
      <c r="G24" s="303" t="s">
        <v>18</v>
      </c>
      <c r="H24" s="303" t="s">
        <v>967</v>
      </c>
      <c r="I24" s="582" t="str">
        <f>VLOOKUP(H24,'9a-Typen vloeren'!$A$10:$B$40,2,FALSE)</f>
        <v>zie kwaliteitsontwerp</v>
      </c>
      <c r="J24" s="433">
        <v>4.0999999999999996</v>
      </c>
      <c r="K24" s="433">
        <f t="shared" si="2"/>
        <v>0</v>
      </c>
      <c r="L24" s="433">
        <f t="shared" si="3"/>
        <v>0</v>
      </c>
      <c r="M24" s="433">
        <f t="shared" si="4"/>
        <v>0</v>
      </c>
      <c r="N24" s="672"/>
      <c r="O24" s="729">
        <f>IF(N24="",0,N24*K24/'9b-Vloeronderhoud'!$F$4)</f>
        <v>0</v>
      </c>
      <c r="P24" s="672"/>
      <c r="Q24" s="729" t="e">
        <f>IF(O24="",0,P24*L24/'9b-Vloeronderhoud'!$F$6)</f>
        <v>#DIV/0!</v>
      </c>
      <c r="R24" s="449">
        <v>1</v>
      </c>
      <c r="S24" s="672">
        <v>190</v>
      </c>
      <c r="T24" s="161" t="e">
        <f t="shared" si="0"/>
        <v>#DIV/0!</v>
      </c>
      <c r="U24" s="162">
        <f>IF(S24="nio",0,IF(S24&gt;0,VLOOKUP(G24,'3-Productie normen'!A:K,VLOOKUP(S24,'3-Productie normen'!L:N,3,FALSE),FALSE)))</f>
        <v>0</v>
      </c>
      <c r="V24" s="162">
        <f>VLOOKUP(G24,'3-Productie normen'!A:K,10,FALSE)</f>
        <v>1859.5880019121171</v>
      </c>
      <c r="W24" s="163">
        <f>VLOOKUP(G24,'3-Productie normen'!A:K,11,FALSE)</f>
        <v>0</v>
      </c>
      <c r="X24" s="163"/>
      <c r="Z24" s="129">
        <f t="shared" si="1"/>
        <v>778.99999999999989</v>
      </c>
    </row>
    <row r="25" spans="1:26" ht="14.1" customHeight="1">
      <c r="A25" s="144">
        <v>25</v>
      </c>
      <c r="B25" s="160" t="s">
        <v>257</v>
      </c>
      <c r="C25" s="303" t="s">
        <v>805</v>
      </c>
      <c r="D25" s="304" t="s">
        <v>98</v>
      </c>
      <c r="E25" s="694">
        <v>33</v>
      </c>
      <c r="F25" s="303" t="s">
        <v>267</v>
      </c>
      <c r="G25" s="126" t="s">
        <v>18</v>
      </c>
      <c r="H25" s="303" t="s">
        <v>955</v>
      </c>
      <c r="I25" s="582" t="str">
        <f>VLOOKUP(H25,'9a-Typen vloeren'!$A$10:$B$40,2,FALSE)</f>
        <v>zie kwaliteitsontwerp</v>
      </c>
      <c r="J25" s="433">
        <v>2.7</v>
      </c>
      <c r="K25" s="433">
        <f t="shared" si="2"/>
        <v>0</v>
      </c>
      <c r="L25" s="433">
        <f t="shared" si="3"/>
        <v>0</v>
      </c>
      <c r="M25" s="433">
        <f t="shared" si="4"/>
        <v>0</v>
      </c>
      <c r="N25" s="672"/>
      <c r="O25" s="729">
        <f>IF(N25="",0,N25*K25/'9b-Vloeronderhoud'!$F$4)</f>
        <v>0</v>
      </c>
      <c r="P25" s="672"/>
      <c r="Q25" s="729" t="e">
        <f>IF(O25="",0,P25*L25/'9b-Vloeronderhoud'!$F$6)</f>
        <v>#DIV/0!</v>
      </c>
      <c r="R25" s="449">
        <v>1</v>
      </c>
      <c r="S25" s="672">
        <v>190</v>
      </c>
      <c r="T25" s="161" t="e">
        <f t="shared" si="0"/>
        <v>#DIV/0!</v>
      </c>
      <c r="U25" s="162">
        <f>IF(S25="nio",0,IF(S25&gt;0,VLOOKUP(G25,'3-Productie normen'!A:K,VLOOKUP(S25,'3-Productie normen'!L:N,3,FALSE),FALSE)))</f>
        <v>0</v>
      </c>
      <c r="V25" s="162">
        <f>VLOOKUP(G25,'3-Productie normen'!A:K,10,FALSE)</f>
        <v>1859.5880019121171</v>
      </c>
      <c r="W25" s="163">
        <f>VLOOKUP(G25,'3-Productie normen'!A:K,11,FALSE)</f>
        <v>0</v>
      </c>
      <c r="X25" s="163"/>
      <c r="Z25" s="129">
        <f t="shared" si="1"/>
        <v>513</v>
      </c>
    </row>
    <row r="26" spans="1:26" ht="14.1" customHeight="1">
      <c r="A26" s="144">
        <v>26</v>
      </c>
      <c r="B26" s="160" t="s">
        <v>257</v>
      </c>
      <c r="C26" s="303" t="s">
        <v>805</v>
      </c>
      <c r="D26" s="304" t="s">
        <v>98</v>
      </c>
      <c r="E26" s="694">
        <v>34</v>
      </c>
      <c r="F26" s="303" t="s">
        <v>496</v>
      </c>
      <c r="G26" s="303" t="s">
        <v>190</v>
      </c>
      <c r="H26" s="303" t="s">
        <v>335</v>
      </c>
      <c r="I26" s="582" t="str">
        <f>VLOOKUP(H26,'9a-Typen vloeren'!$A$10:$B$40,2,FALSE)</f>
        <v>Schrobben</v>
      </c>
      <c r="J26" s="433">
        <v>15.1</v>
      </c>
      <c r="K26" s="433">
        <f t="shared" si="2"/>
        <v>0</v>
      </c>
      <c r="L26" s="433">
        <f t="shared" si="3"/>
        <v>15.1</v>
      </c>
      <c r="M26" s="433">
        <f t="shared" si="4"/>
        <v>0</v>
      </c>
      <c r="N26" s="672"/>
      <c r="O26" s="729">
        <f>IF(N26="",0,N26*K26/'9b-Vloeronderhoud'!$F$4)</f>
        <v>0</v>
      </c>
      <c r="P26" s="672">
        <v>3</v>
      </c>
      <c r="Q26" s="729" t="e">
        <f>IF(O26="",0,P26*L26/'9b-Vloeronderhoud'!$F$6)</f>
        <v>#DIV/0!</v>
      </c>
      <c r="R26" s="449">
        <v>1</v>
      </c>
      <c r="S26" s="672">
        <v>40</v>
      </c>
      <c r="T26" s="161" t="e">
        <f t="shared" si="0"/>
        <v>#DIV/0!</v>
      </c>
      <c r="U26" s="162">
        <f>IF(S26="nio",0,IF(S26&gt;0,VLOOKUP(G26,'3-Productie normen'!A:K,VLOOKUP(S26,'3-Productie normen'!L:N,3,FALSE),FALSE)))</f>
        <v>0</v>
      </c>
      <c r="V26" s="162">
        <f>VLOOKUP(G26,'3-Productie normen'!A:K,10,FALSE)</f>
        <v>281.65000052452086</v>
      </c>
      <c r="W26" s="163">
        <f>VLOOKUP(G26,'3-Productie normen'!A:K,11,FALSE)</f>
        <v>0</v>
      </c>
      <c r="X26" s="163"/>
      <c r="Z26" s="129">
        <f t="shared" si="1"/>
        <v>604</v>
      </c>
    </row>
    <row r="27" spans="1:26" ht="14.1" customHeight="1">
      <c r="A27" s="144">
        <v>27</v>
      </c>
      <c r="B27" s="160" t="s">
        <v>257</v>
      </c>
      <c r="C27" s="303" t="s">
        <v>805</v>
      </c>
      <c r="D27" s="304" t="s">
        <v>98</v>
      </c>
      <c r="E27" s="694">
        <v>35</v>
      </c>
      <c r="F27" s="303" t="s">
        <v>556</v>
      </c>
      <c r="G27" s="122" t="s">
        <v>299</v>
      </c>
      <c r="H27" s="303" t="s">
        <v>335</v>
      </c>
      <c r="I27" s="582" t="str">
        <f>VLOOKUP(H27,'9a-Typen vloeren'!$A$10:$B$40,2,FALSE)</f>
        <v>Schrobben</v>
      </c>
      <c r="J27" s="433">
        <v>33.299999999999997</v>
      </c>
      <c r="K27" s="433">
        <f t="shared" si="2"/>
        <v>0</v>
      </c>
      <c r="L27" s="433">
        <f t="shared" si="3"/>
        <v>33.299999999999997</v>
      </c>
      <c r="M27" s="433">
        <f t="shared" si="4"/>
        <v>0</v>
      </c>
      <c r="N27" s="672"/>
      <c r="O27" s="729">
        <f>IF(N27="",0,N27*K27/'9b-Vloeronderhoud'!$F$4)</f>
        <v>0</v>
      </c>
      <c r="P27" s="672"/>
      <c r="Q27" s="729" t="e">
        <f>IF(O27="",0,P27*L27/'9b-Vloeronderhoud'!$F$6)</f>
        <v>#DIV/0!</v>
      </c>
      <c r="R27" s="449">
        <v>1</v>
      </c>
      <c r="S27" s="672">
        <v>40</v>
      </c>
      <c r="T27" s="161" t="e">
        <f t="shared" si="0"/>
        <v>#DIV/0!</v>
      </c>
      <c r="U27" s="162">
        <f>IF(S27="nio",0,IF(S27&gt;0,VLOOKUP(G27,'3-Productie normen'!A:K,VLOOKUP(S27,'3-Productie normen'!L:N,3,FALSE),FALSE)))</f>
        <v>0</v>
      </c>
      <c r="V27" s="162">
        <f>VLOOKUP(G27,'3-Productie normen'!A:K,10,FALSE)</f>
        <v>1107.9100014114381</v>
      </c>
      <c r="W27" s="163">
        <f>VLOOKUP(G27,'3-Productie normen'!A:K,11,FALSE)</f>
        <v>0</v>
      </c>
      <c r="X27" s="163"/>
      <c r="Z27" s="129">
        <f t="shared" si="1"/>
        <v>1332</v>
      </c>
    </row>
    <row r="28" spans="1:26" ht="14.1" customHeight="1">
      <c r="A28" s="144">
        <v>28</v>
      </c>
      <c r="B28" s="160" t="s">
        <v>257</v>
      </c>
      <c r="C28" s="303" t="s">
        <v>805</v>
      </c>
      <c r="D28" s="304" t="s">
        <v>98</v>
      </c>
      <c r="E28" s="694">
        <v>36</v>
      </c>
      <c r="F28" s="303" t="s">
        <v>816</v>
      </c>
      <c r="G28" s="460" t="s">
        <v>881</v>
      </c>
      <c r="H28" s="303" t="s">
        <v>335</v>
      </c>
      <c r="I28" s="582" t="str">
        <f>VLOOKUP(H28,'9a-Typen vloeren'!$A$10:$B$40,2,FALSE)</f>
        <v>Schrobben</v>
      </c>
      <c r="J28" s="433">
        <v>9.1999999999999993</v>
      </c>
      <c r="K28" s="433">
        <f t="shared" si="2"/>
        <v>0</v>
      </c>
      <c r="L28" s="433">
        <f t="shared" si="3"/>
        <v>0</v>
      </c>
      <c r="M28" s="433">
        <f t="shared" si="4"/>
        <v>0</v>
      </c>
      <c r="N28" s="672"/>
      <c r="O28" s="729">
        <f>IF(N28="",0,N28*K28/'9b-Vloeronderhoud'!$F$4)</f>
        <v>0</v>
      </c>
      <c r="P28" s="672"/>
      <c r="Q28" s="729" t="e">
        <f>IF(O28="",0,P28*L28/'9b-Vloeronderhoud'!$F$6)</f>
        <v>#DIV/0!</v>
      </c>
      <c r="R28" s="449">
        <v>1</v>
      </c>
      <c r="S28" s="672" t="s">
        <v>179</v>
      </c>
      <c r="T28" s="161">
        <f t="shared" si="0"/>
        <v>0</v>
      </c>
      <c r="U28" s="162">
        <f>IF(S28="nio",0,IF(S28&gt;0,VLOOKUP(G28,'3-Productie normen'!A:K,VLOOKUP(S28,'3-Productie normen'!L:N,3,FALSE),FALSE)))</f>
        <v>0</v>
      </c>
      <c r="V28" s="162">
        <f>VLOOKUP(G28,'3-Productie normen'!A:K,10,FALSE)</f>
        <v>5262.809993648526</v>
      </c>
      <c r="W28" s="163">
        <f>VLOOKUP(G28,'3-Productie normen'!A:K,11,FALSE)</f>
        <v>0</v>
      </c>
      <c r="X28" s="163"/>
      <c r="Z28" s="129">
        <f t="shared" si="1"/>
        <v>0</v>
      </c>
    </row>
    <row r="29" spans="1:26" ht="14.1" customHeight="1">
      <c r="A29" s="144">
        <v>29</v>
      </c>
      <c r="B29" s="160" t="s">
        <v>257</v>
      </c>
      <c r="C29" s="303" t="s">
        <v>805</v>
      </c>
      <c r="D29" s="304" t="s">
        <v>98</v>
      </c>
      <c r="E29" s="694">
        <v>37</v>
      </c>
      <c r="F29" s="303" t="s">
        <v>765</v>
      </c>
      <c r="G29" s="460" t="s">
        <v>191</v>
      </c>
      <c r="H29" s="303" t="s">
        <v>335</v>
      </c>
      <c r="I29" s="582" t="str">
        <f>VLOOKUP(H29,'9a-Typen vloeren'!$A$10:$B$40,2,FALSE)</f>
        <v>Schrobben</v>
      </c>
      <c r="J29" s="433">
        <v>17.5</v>
      </c>
      <c r="K29" s="433">
        <f t="shared" si="2"/>
        <v>0</v>
      </c>
      <c r="L29" s="433">
        <f t="shared" si="3"/>
        <v>17.5</v>
      </c>
      <c r="M29" s="433">
        <f t="shared" si="4"/>
        <v>0</v>
      </c>
      <c r="N29" s="672"/>
      <c r="O29" s="729">
        <f>IF(N29="",0,N29*K29/'9b-Vloeronderhoud'!$F$4)</f>
        <v>0</v>
      </c>
      <c r="P29" s="672"/>
      <c r="Q29" s="729" t="e">
        <f>IF(O29="",0,P29*L29/'9b-Vloeronderhoud'!$F$6)</f>
        <v>#DIV/0!</v>
      </c>
      <c r="R29" s="449">
        <v>1</v>
      </c>
      <c r="S29" s="672">
        <v>40</v>
      </c>
      <c r="T29" s="161" t="e">
        <f t="shared" si="0"/>
        <v>#DIV/0!</v>
      </c>
      <c r="U29" s="162">
        <f>IF(S29="nio",0,IF(S29&gt;0,VLOOKUP(G29,'3-Productie normen'!A:K,VLOOKUP(S29,'3-Productie normen'!L:N,3,FALSE),FALSE)))</f>
        <v>0</v>
      </c>
      <c r="V29" s="162">
        <f>VLOOKUP(G29,'3-Productie normen'!A:K,10,FALSE)</f>
        <v>314.55999933242794</v>
      </c>
      <c r="W29" s="163">
        <f>VLOOKUP(G29,'3-Productie normen'!A:K,11,FALSE)</f>
        <v>0</v>
      </c>
      <c r="X29" s="163"/>
      <c r="Z29" s="129">
        <f t="shared" si="1"/>
        <v>700</v>
      </c>
    </row>
    <row r="30" spans="1:26" ht="14.1" customHeight="1">
      <c r="A30" s="144">
        <v>30</v>
      </c>
      <c r="B30" s="160" t="s">
        <v>257</v>
      </c>
      <c r="C30" s="303" t="s">
        <v>805</v>
      </c>
      <c r="D30" s="304" t="s">
        <v>98</v>
      </c>
      <c r="E30" s="694">
        <v>38</v>
      </c>
      <c r="F30" s="303" t="s">
        <v>400</v>
      </c>
      <c r="G30" s="460" t="s">
        <v>189</v>
      </c>
      <c r="H30" s="303" t="s">
        <v>335</v>
      </c>
      <c r="I30" s="582" t="str">
        <f>VLOOKUP(H30,'9a-Typen vloeren'!$A$10:$B$40,2,FALSE)</f>
        <v>Schrobben</v>
      </c>
      <c r="J30" s="433">
        <v>19</v>
      </c>
      <c r="K30" s="433">
        <f t="shared" si="2"/>
        <v>0</v>
      </c>
      <c r="L30" s="433">
        <f t="shared" si="3"/>
        <v>19</v>
      </c>
      <c r="M30" s="433">
        <f t="shared" si="4"/>
        <v>0</v>
      </c>
      <c r="N30" s="672"/>
      <c r="O30" s="729">
        <f>IF(N30="",0,N30*K30/'9b-Vloeronderhoud'!$F$4)</f>
        <v>0</v>
      </c>
      <c r="P30" s="672"/>
      <c r="Q30" s="729" t="e">
        <f>IF(O30="",0,P30*L30/'9b-Vloeronderhoud'!$F$6)</f>
        <v>#DIV/0!</v>
      </c>
      <c r="R30" s="449">
        <v>1</v>
      </c>
      <c r="S30" s="672">
        <v>40</v>
      </c>
      <c r="T30" s="161" t="e">
        <f t="shared" si="0"/>
        <v>#DIV/0!</v>
      </c>
      <c r="U30" s="162">
        <f>IF(S30="nio",0,IF(S30&gt;0,VLOOKUP(G30,'3-Productie normen'!A:K,VLOOKUP(S30,'3-Productie normen'!L:N,3,FALSE),FALSE)))</f>
        <v>0</v>
      </c>
      <c r="V30" s="162">
        <f>VLOOKUP(G30,'3-Productie normen'!A:K,10,FALSE)</f>
        <v>1494.1700078582762</v>
      </c>
      <c r="W30" s="163">
        <f>VLOOKUP(G30,'3-Productie normen'!A:K,11,FALSE)</f>
        <v>0</v>
      </c>
      <c r="X30" s="163"/>
      <c r="Z30" s="129">
        <f t="shared" si="1"/>
        <v>760</v>
      </c>
    </row>
    <row r="31" spans="1:26" ht="14.1" customHeight="1">
      <c r="A31" s="144">
        <v>31</v>
      </c>
      <c r="B31" s="160" t="s">
        <v>257</v>
      </c>
      <c r="C31" s="303" t="s">
        <v>805</v>
      </c>
      <c r="D31" s="304" t="s">
        <v>98</v>
      </c>
      <c r="E31" s="694">
        <v>39</v>
      </c>
      <c r="F31" s="303" t="s">
        <v>809</v>
      </c>
      <c r="G31" s="460" t="s">
        <v>286</v>
      </c>
      <c r="H31" s="303" t="s">
        <v>563</v>
      </c>
      <c r="I31" s="582" t="str">
        <f>VLOOKUP(H31,'9a-Typen vloeren'!$A$10:$B$40,2,FALSE)</f>
        <v>n.v.t.</v>
      </c>
      <c r="J31" s="433">
        <v>13</v>
      </c>
      <c r="K31" s="433">
        <f t="shared" si="2"/>
        <v>0</v>
      </c>
      <c r="L31" s="433">
        <f t="shared" si="3"/>
        <v>0</v>
      </c>
      <c r="M31" s="433">
        <f t="shared" si="4"/>
        <v>0</v>
      </c>
      <c r="N31" s="672"/>
      <c r="O31" s="729">
        <f>IF(N31="",0,N31*K31/'9b-Vloeronderhoud'!$F$4)</f>
        <v>0</v>
      </c>
      <c r="P31" s="672"/>
      <c r="Q31" s="729" t="e">
        <f>IF(O31="",0,P31*L31/'9b-Vloeronderhoud'!$F$6)</f>
        <v>#DIV/0!</v>
      </c>
      <c r="R31" s="449">
        <v>1</v>
      </c>
      <c r="S31" s="672">
        <v>120</v>
      </c>
      <c r="T31" s="161" t="e">
        <f t="shared" si="0"/>
        <v>#DIV/0!</v>
      </c>
      <c r="U31" s="162">
        <f>IF(S31="nio",0,IF(S31&gt;0,VLOOKUP(G31,'3-Productie normen'!A:K,VLOOKUP(S31,'3-Productie normen'!L:N,3,FALSE),FALSE)))</f>
        <v>0</v>
      </c>
      <c r="V31" s="162">
        <f>VLOOKUP(G31,'3-Productie normen'!A:K,10,FALSE)</f>
        <v>6152.9500017547598</v>
      </c>
      <c r="W31" s="163">
        <f>VLOOKUP(G31,'3-Productie normen'!A:K,11,FALSE)</f>
        <v>0</v>
      </c>
      <c r="X31" s="163"/>
      <c r="Z31" s="129">
        <f t="shared" si="1"/>
        <v>1560</v>
      </c>
    </row>
    <row r="32" spans="1:26" ht="14.1" customHeight="1">
      <c r="A32" s="144">
        <v>32</v>
      </c>
      <c r="B32" s="160" t="s">
        <v>257</v>
      </c>
      <c r="C32" s="303" t="s">
        <v>805</v>
      </c>
      <c r="D32" s="304" t="s">
        <v>98</v>
      </c>
      <c r="E32" s="694">
        <v>40</v>
      </c>
      <c r="F32" s="303" t="s">
        <v>543</v>
      </c>
      <c r="G32" s="460" t="s">
        <v>881</v>
      </c>
      <c r="H32" s="303" t="s">
        <v>335</v>
      </c>
      <c r="I32" s="582" t="str">
        <f>VLOOKUP(H32,'9a-Typen vloeren'!$A$10:$B$40,2,FALSE)</f>
        <v>Schrobben</v>
      </c>
      <c r="J32" s="433">
        <v>0.7</v>
      </c>
      <c r="K32" s="433">
        <f t="shared" si="2"/>
        <v>0</v>
      </c>
      <c r="L32" s="433">
        <f t="shared" si="3"/>
        <v>0</v>
      </c>
      <c r="M32" s="433">
        <f t="shared" si="4"/>
        <v>0</v>
      </c>
      <c r="N32" s="672"/>
      <c r="O32" s="729">
        <f>IF(N32="",0,N32*K32/'9b-Vloeronderhoud'!$F$4)</f>
        <v>0</v>
      </c>
      <c r="P32" s="672"/>
      <c r="Q32" s="729" t="e">
        <f>IF(O32="",0,P32*L32/'9b-Vloeronderhoud'!$F$6)</f>
        <v>#DIV/0!</v>
      </c>
      <c r="R32" s="449">
        <v>1</v>
      </c>
      <c r="S32" s="672" t="s">
        <v>179</v>
      </c>
      <c r="T32" s="161">
        <f t="shared" si="0"/>
        <v>0</v>
      </c>
      <c r="U32" s="162">
        <f>IF(S32="nio",0,IF(S32&gt;0,VLOOKUP(G32,'3-Productie normen'!A:K,VLOOKUP(S32,'3-Productie normen'!L:N,3,FALSE),FALSE)))</f>
        <v>0</v>
      </c>
      <c r="V32" s="162">
        <f>VLOOKUP(G32,'3-Productie normen'!A:K,10,FALSE)</f>
        <v>5262.809993648526</v>
      </c>
      <c r="W32" s="163">
        <f>VLOOKUP(G32,'3-Productie normen'!A:K,11,FALSE)</f>
        <v>0</v>
      </c>
      <c r="X32" s="163"/>
      <c r="Z32" s="129">
        <f t="shared" si="1"/>
        <v>0</v>
      </c>
    </row>
    <row r="33" spans="1:26" ht="14.1" customHeight="1">
      <c r="A33" s="144">
        <v>33</v>
      </c>
      <c r="B33" s="160" t="s">
        <v>257</v>
      </c>
      <c r="C33" s="303" t="s">
        <v>805</v>
      </c>
      <c r="D33" s="304" t="s">
        <v>98</v>
      </c>
      <c r="E33" s="694">
        <v>41</v>
      </c>
      <c r="F33" s="303" t="s">
        <v>382</v>
      </c>
      <c r="G33" s="460" t="s">
        <v>881</v>
      </c>
      <c r="H33" s="303" t="s">
        <v>335</v>
      </c>
      <c r="I33" s="582" t="str">
        <f>VLOOKUP(H33,'9a-Typen vloeren'!$A$10:$B$40,2,FALSE)</f>
        <v>Schrobben</v>
      </c>
      <c r="J33" s="433">
        <v>4.9000000000000004</v>
      </c>
      <c r="K33" s="433">
        <f t="shared" si="2"/>
        <v>0</v>
      </c>
      <c r="L33" s="433">
        <f t="shared" si="3"/>
        <v>0</v>
      </c>
      <c r="M33" s="433">
        <f t="shared" si="4"/>
        <v>0</v>
      </c>
      <c r="N33" s="672"/>
      <c r="O33" s="729">
        <f>IF(N33="",0,N33*K33/'9b-Vloeronderhoud'!$F$4)</f>
        <v>0</v>
      </c>
      <c r="P33" s="672"/>
      <c r="Q33" s="729" t="e">
        <f>IF(O33="",0,P33*L33/'9b-Vloeronderhoud'!$F$6)</f>
        <v>#DIV/0!</v>
      </c>
      <c r="R33" s="449">
        <v>1</v>
      </c>
      <c r="S33" s="672" t="s">
        <v>179</v>
      </c>
      <c r="T33" s="161">
        <f t="shared" si="0"/>
        <v>0</v>
      </c>
      <c r="U33" s="162">
        <f>IF(S33="nio",0,IF(S33&gt;0,VLOOKUP(G33,'3-Productie normen'!A:K,VLOOKUP(S33,'3-Productie normen'!L:N,3,FALSE),FALSE)))</f>
        <v>0</v>
      </c>
      <c r="V33" s="162">
        <f>VLOOKUP(G33,'3-Productie normen'!A:K,10,FALSE)</f>
        <v>5262.809993648526</v>
      </c>
      <c r="W33" s="163">
        <f>VLOOKUP(G33,'3-Productie normen'!A:K,11,FALSE)</f>
        <v>0</v>
      </c>
      <c r="X33" s="163"/>
      <c r="Z33" s="129">
        <f t="shared" si="1"/>
        <v>0</v>
      </c>
    </row>
    <row r="34" spans="1:26" ht="14.1" customHeight="1">
      <c r="A34" s="144">
        <v>34</v>
      </c>
      <c r="B34" s="160" t="s">
        <v>257</v>
      </c>
      <c r="C34" s="303" t="s">
        <v>805</v>
      </c>
      <c r="D34" s="304" t="s">
        <v>98</v>
      </c>
      <c r="E34" s="694">
        <v>42</v>
      </c>
      <c r="F34" s="303" t="s">
        <v>452</v>
      </c>
      <c r="G34" s="460" t="s">
        <v>18</v>
      </c>
      <c r="H34" s="303" t="s">
        <v>955</v>
      </c>
      <c r="I34" s="582" t="str">
        <f>VLOOKUP(H34,'9a-Typen vloeren'!$A$10:$B$40,2,FALSE)</f>
        <v>zie kwaliteitsontwerp</v>
      </c>
      <c r="J34" s="433">
        <v>4.9000000000000004</v>
      </c>
      <c r="K34" s="433">
        <f t="shared" si="2"/>
        <v>0</v>
      </c>
      <c r="L34" s="433">
        <f t="shared" si="3"/>
        <v>0</v>
      </c>
      <c r="M34" s="433">
        <f t="shared" si="4"/>
        <v>0</v>
      </c>
      <c r="N34" s="672"/>
      <c r="O34" s="729">
        <f>IF(N34="",0,N34*K34/'9b-Vloeronderhoud'!$F$4)</f>
        <v>0</v>
      </c>
      <c r="P34" s="672"/>
      <c r="Q34" s="729" t="e">
        <f>IF(O34="",0,P34*L34/'9b-Vloeronderhoud'!$F$6)</f>
        <v>#DIV/0!</v>
      </c>
      <c r="R34" s="449">
        <v>1</v>
      </c>
      <c r="S34" s="672">
        <v>190</v>
      </c>
      <c r="T34" s="161" t="e">
        <f t="shared" si="0"/>
        <v>#DIV/0!</v>
      </c>
      <c r="U34" s="162">
        <f>IF(S34="nio",0,IF(S34&gt;0,VLOOKUP(G34,'3-Productie normen'!A:K,VLOOKUP(S34,'3-Productie normen'!L:N,3,FALSE),FALSE)))</f>
        <v>0</v>
      </c>
      <c r="V34" s="162">
        <f>VLOOKUP(G34,'3-Productie normen'!A:K,10,FALSE)</f>
        <v>1859.5880019121171</v>
      </c>
      <c r="W34" s="163">
        <f>VLOOKUP(G34,'3-Productie normen'!A:K,11,FALSE)</f>
        <v>0</v>
      </c>
      <c r="X34" s="163"/>
      <c r="Z34" s="129">
        <f t="shared" si="1"/>
        <v>931.00000000000011</v>
      </c>
    </row>
    <row r="35" spans="1:26" ht="14.1" customHeight="1">
      <c r="A35" s="144">
        <v>35</v>
      </c>
      <c r="B35" s="160" t="s">
        <v>257</v>
      </c>
      <c r="C35" s="303" t="s">
        <v>805</v>
      </c>
      <c r="D35" s="304" t="s">
        <v>98</v>
      </c>
      <c r="E35" s="694">
        <v>43</v>
      </c>
      <c r="F35" s="303" t="s">
        <v>817</v>
      </c>
      <c r="G35" s="460" t="s">
        <v>881</v>
      </c>
      <c r="H35" s="303" t="s">
        <v>335</v>
      </c>
      <c r="I35" s="582" t="str">
        <f>VLOOKUP(H35,'9a-Typen vloeren'!$A$10:$B$40,2,FALSE)</f>
        <v>Schrobben</v>
      </c>
      <c r="J35" s="433">
        <v>8.3000000000000007</v>
      </c>
      <c r="K35" s="433">
        <f t="shared" si="2"/>
        <v>0</v>
      </c>
      <c r="L35" s="433">
        <f t="shared" si="3"/>
        <v>0</v>
      </c>
      <c r="M35" s="433">
        <f t="shared" si="4"/>
        <v>0</v>
      </c>
      <c r="N35" s="672"/>
      <c r="O35" s="729">
        <f>IF(N35="",0,N35*K35/'9b-Vloeronderhoud'!$F$4)</f>
        <v>0</v>
      </c>
      <c r="P35" s="672"/>
      <c r="Q35" s="729" t="e">
        <f>IF(O35="",0,P35*L35/'9b-Vloeronderhoud'!$F$6)</f>
        <v>#DIV/0!</v>
      </c>
      <c r="R35" s="449">
        <v>1</v>
      </c>
      <c r="S35" s="672" t="s">
        <v>179</v>
      </c>
      <c r="T35" s="161">
        <f t="shared" si="0"/>
        <v>0</v>
      </c>
      <c r="U35" s="162">
        <f>IF(S35="nio",0,IF(S35&gt;0,VLOOKUP(G35,'3-Productie normen'!A:K,VLOOKUP(S35,'3-Productie normen'!L:N,3,FALSE),FALSE)))</f>
        <v>0</v>
      </c>
      <c r="V35" s="162">
        <f>VLOOKUP(G35,'3-Productie normen'!A:K,10,FALSE)</f>
        <v>5262.809993648526</v>
      </c>
      <c r="W35" s="163">
        <f>VLOOKUP(G35,'3-Productie normen'!A:K,11,FALSE)</f>
        <v>0</v>
      </c>
      <c r="X35" s="163"/>
      <c r="Z35" s="129">
        <f t="shared" si="1"/>
        <v>0</v>
      </c>
    </row>
    <row r="36" spans="1:26" ht="14.1" customHeight="1">
      <c r="A36" s="144">
        <v>36</v>
      </c>
      <c r="B36" s="160" t="s">
        <v>257</v>
      </c>
      <c r="C36" s="303" t="s">
        <v>805</v>
      </c>
      <c r="D36" s="304" t="s">
        <v>98</v>
      </c>
      <c r="E36" s="694">
        <v>44</v>
      </c>
      <c r="F36" s="303" t="s">
        <v>451</v>
      </c>
      <c r="G36" s="460" t="s">
        <v>881</v>
      </c>
      <c r="H36" s="303" t="s">
        <v>335</v>
      </c>
      <c r="I36" s="582" t="str">
        <f>VLOOKUP(H36,'9a-Typen vloeren'!$A$10:$B$40,2,FALSE)</f>
        <v>Schrobben</v>
      </c>
      <c r="J36" s="433">
        <v>2.9</v>
      </c>
      <c r="K36" s="433">
        <f t="shared" si="2"/>
        <v>0</v>
      </c>
      <c r="L36" s="433">
        <f t="shared" si="3"/>
        <v>0</v>
      </c>
      <c r="M36" s="433">
        <f t="shared" si="4"/>
        <v>0</v>
      </c>
      <c r="N36" s="672"/>
      <c r="O36" s="729">
        <f>IF(N36="",0,N36*K36/'9b-Vloeronderhoud'!$F$4)</f>
        <v>0</v>
      </c>
      <c r="P36" s="672"/>
      <c r="Q36" s="729" t="e">
        <f>IF(O36="",0,P36*L36/'9b-Vloeronderhoud'!$F$6)</f>
        <v>#DIV/0!</v>
      </c>
      <c r="R36" s="449">
        <v>1</v>
      </c>
      <c r="S36" s="672" t="s">
        <v>179</v>
      </c>
      <c r="T36" s="161">
        <f t="shared" si="0"/>
        <v>0</v>
      </c>
      <c r="U36" s="162">
        <f>IF(S36="nio",0,IF(S36&gt;0,VLOOKUP(G36,'3-Productie normen'!A:K,VLOOKUP(S36,'3-Productie normen'!L:N,3,FALSE),FALSE)))</f>
        <v>0</v>
      </c>
      <c r="V36" s="162">
        <f>VLOOKUP(G36,'3-Productie normen'!A:K,10,FALSE)</f>
        <v>5262.809993648526</v>
      </c>
      <c r="W36" s="163">
        <f>VLOOKUP(G36,'3-Productie normen'!A:K,11,FALSE)</f>
        <v>0</v>
      </c>
      <c r="X36" s="163"/>
      <c r="Z36" s="129">
        <f t="shared" si="1"/>
        <v>0</v>
      </c>
    </row>
    <row r="37" spans="1:26" ht="14.1" customHeight="1">
      <c r="A37" s="144">
        <v>37</v>
      </c>
      <c r="B37" s="160" t="s">
        <v>257</v>
      </c>
      <c r="C37" s="303" t="s">
        <v>805</v>
      </c>
      <c r="D37" s="304" t="s">
        <v>98</v>
      </c>
      <c r="E37" s="694">
        <v>45</v>
      </c>
      <c r="F37" s="303" t="s">
        <v>285</v>
      </c>
      <c r="G37" s="533" t="s">
        <v>285</v>
      </c>
      <c r="H37" s="303" t="s">
        <v>335</v>
      </c>
      <c r="I37" s="582" t="str">
        <f>VLOOKUP(H37,'9a-Typen vloeren'!$A$10:$B$40,2,FALSE)</f>
        <v>Schrobben</v>
      </c>
      <c r="J37" s="433">
        <v>60</v>
      </c>
      <c r="K37" s="433">
        <f t="shared" si="2"/>
        <v>0</v>
      </c>
      <c r="L37" s="433">
        <f t="shared" si="3"/>
        <v>60</v>
      </c>
      <c r="M37" s="433">
        <f t="shared" si="4"/>
        <v>0</v>
      </c>
      <c r="N37" s="672"/>
      <c r="O37" s="729">
        <f>IF(N37="",0,N37*K37/'9b-Vloeronderhoud'!$F$4)</f>
        <v>0</v>
      </c>
      <c r="P37" s="672"/>
      <c r="Q37" s="729" t="e">
        <f>IF(O37="",0,P37*L37/'9b-Vloeronderhoud'!$F$6)</f>
        <v>#DIV/0!</v>
      </c>
      <c r="R37" s="449">
        <v>1</v>
      </c>
      <c r="S37" s="672">
        <v>190</v>
      </c>
      <c r="T37" s="161" t="e">
        <f t="shared" si="0"/>
        <v>#DIV/0!</v>
      </c>
      <c r="U37" s="162">
        <f>IF(S37="nio",0,IF(S37&gt;0,VLOOKUP(G37,'3-Productie normen'!A:K,VLOOKUP(S37,'3-Productie normen'!L:N,3,FALSE),FALSE)))</f>
        <v>0</v>
      </c>
      <c r="V37" s="162">
        <f>VLOOKUP(G37,'3-Productie normen'!A:K,10,FALSE)</f>
        <v>3305.8200070953367</v>
      </c>
      <c r="W37" s="163">
        <f>VLOOKUP(G37,'3-Productie normen'!A:K,11,FALSE)</f>
        <v>0</v>
      </c>
      <c r="X37" s="163"/>
      <c r="Z37" s="129">
        <f t="shared" si="1"/>
        <v>11400</v>
      </c>
    </row>
    <row r="38" spans="1:26" ht="14.1" customHeight="1">
      <c r="A38" s="144">
        <v>38</v>
      </c>
      <c r="B38" s="160" t="s">
        <v>257</v>
      </c>
      <c r="C38" s="303" t="s">
        <v>805</v>
      </c>
      <c r="D38" s="304" t="s">
        <v>98</v>
      </c>
      <c r="E38" s="694">
        <v>51</v>
      </c>
      <c r="F38" s="303" t="s">
        <v>481</v>
      </c>
      <c r="G38" s="460" t="s">
        <v>287</v>
      </c>
      <c r="H38" s="303" t="s">
        <v>335</v>
      </c>
      <c r="I38" s="582" t="str">
        <f>VLOOKUP(H38,'9a-Typen vloeren'!$A$10:$B$40,2,FALSE)</f>
        <v>Schrobben</v>
      </c>
      <c r="J38" s="433">
        <v>19.53</v>
      </c>
      <c r="K38" s="433">
        <f t="shared" si="2"/>
        <v>0</v>
      </c>
      <c r="L38" s="433">
        <f t="shared" si="3"/>
        <v>19.53</v>
      </c>
      <c r="M38" s="433">
        <f t="shared" si="4"/>
        <v>0</v>
      </c>
      <c r="N38" s="672"/>
      <c r="O38" s="729">
        <f>IF(N38="",0,N38*K38/'9b-Vloeronderhoud'!$F$4)</f>
        <v>0</v>
      </c>
      <c r="P38" s="672"/>
      <c r="Q38" s="729" t="e">
        <f>IF(O38="",0,P38*L38/'9b-Vloeronderhoud'!$F$6)</f>
        <v>#DIV/0!</v>
      </c>
      <c r="R38" s="449">
        <v>1</v>
      </c>
      <c r="S38" s="672">
        <v>80</v>
      </c>
      <c r="T38" s="161" t="e">
        <f t="shared" si="0"/>
        <v>#DIV/0!</v>
      </c>
      <c r="U38" s="162">
        <f>IF(S38="nio",0,IF(S38&gt;0,VLOOKUP(G38,'3-Productie normen'!A:K,VLOOKUP(S38,'3-Productie normen'!L:N,3,FALSE),FALSE)))</f>
        <v>0</v>
      </c>
      <c r="V38" s="162">
        <f>VLOOKUP(G38,'3-Productie normen'!A:K,10,FALSE)</f>
        <v>519.460002565384</v>
      </c>
      <c r="W38" s="163">
        <f>VLOOKUP(G38,'3-Productie normen'!A:K,11,FALSE)</f>
        <v>0</v>
      </c>
      <c r="X38" s="163"/>
      <c r="Z38" s="129">
        <f t="shared" si="1"/>
        <v>1562.4</v>
      </c>
    </row>
    <row r="39" spans="1:26" ht="14.1" customHeight="1">
      <c r="A39" s="144">
        <v>39</v>
      </c>
      <c r="B39" s="160" t="s">
        <v>257</v>
      </c>
      <c r="C39" s="303" t="s">
        <v>805</v>
      </c>
      <c r="D39" s="304" t="s">
        <v>98</v>
      </c>
      <c r="E39" s="694">
        <v>52</v>
      </c>
      <c r="F39" s="303" t="s">
        <v>480</v>
      </c>
      <c r="G39" s="533" t="s">
        <v>480</v>
      </c>
      <c r="H39" s="303" t="s">
        <v>335</v>
      </c>
      <c r="I39" s="582" t="str">
        <f>VLOOKUP(H39,'9a-Typen vloeren'!$A$10:$B$40,2,FALSE)</f>
        <v>Schrobben</v>
      </c>
      <c r="J39" s="433">
        <v>2.75</v>
      </c>
      <c r="K39" s="433">
        <f t="shared" si="2"/>
        <v>0</v>
      </c>
      <c r="L39" s="433">
        <f t="shared" si="3"/>
        <v>2.75</v>
      </c>
      <c r="M39" s="433">
        <f t="shared" si="4"/>
        <v>0</v>
      </c>
      <c r="N39" s="672"/>
      <c r="O39" s="729">
        <f>IF(N39="",0,N39*K39/'9b-Vloeronderhoud'!$F$4)</f>
        <v>0</v>
      </c>
      <c r="P39" s="672"/>
      <c r="Q39" s="729" t="e">
        <f>IF(O39="",0,P39*L39/'9b-Vloeronderhoud'!$F$6)</f>
        <v>#DIV/0!</v>
      </c>
      <c r="R39" s="449">
        <v>1</v>
      </c>
      <c r="S39" s="672">
        <v>40</v>
      </c>
      <c r="T39" s="161" t="e">
        <f t="shared" si="0"/>
        <v>#DIV/0!</v>
      </c>
      <c r="U39" s="162">
        <f>IF(S39="nio",0,IF(S39&gt;0,VLOOKUP(G39,'3-Productie normen'!A:K,VLOOKUP(S39,'3-Productie normen'!L:N,3,FALSE),FALSE)))</f>
        <v>0</v>
      </c>
      <c r="V39" s="162">
        <f>VLOOKUP(G39,'3-Productie normen'!A:K,10,FALSE)</f>
        <v>31.690000023841854</v>
      </c>
      <c r="W39" s="163">
        <f>VLOOKUP(G39,'3-Productie normen'!A:K,11,FALSE)</f>
        <v>0</v>
      </c>
      <c r="X39" s="163"/>
      <c r="Z39" s="129">
        <f t="shared" si="1"/>
        <v>110</v>
      </c>
    </row>
    <row r="40" spans="1:26" ht="14.1" customHeight="1">
      <c r="A40" s="144">
        <v>40</v>
      </c>
      <c r="B40" s="160" t="s">
        <v>257</v>
      </c>
      <c r="C40" s="303" t="s">
        <v>805</v>
      </c>
      <c r="D40" s="304">
        <v>1</v>
      </c>
      <c r="E40" s="694" t="s">
        <v>351</v>
      </c>
      <c r="F40" s="303" t="s">
        <v>404</v>
      </c>
      <c r="G40" s="303" t="s">
        <v>286</v>
      </c>
      <c r="H40" s="303" t="s">
        <v>335</v>
      </c>
      <c r="I40" s="582" t="str">
        <f>VLOOKUP(H40,'9a-Typen vloeren'!$A$10:$B$40,2,FALSE)</f>
        <v>Schrobben</v>
      </c>
      <c r="J40" s="433">
        <v>51.3</v>
      </c>
      <c r="K40" s="433">
        <f t="shared" si="2"/>
        <v>0</v>
      </c>
      <c r="L40" s="433">
        <f t="shared" si="3"/>
        <v>51.3</v>
      </c>
      <c r="M40" s="433">
        <f t="shared" si="4"/>
        <v>0</v>
      </c>
      <c r="N40" s="672"/>
      <c r="O40" s="729">
        <f>IF(N40="",0,N40*K40/'9b-Vloeronderhoud'!$F$4)</f>
        <v>0</v>
      </c>
      <c r="P40" s="672">
        <v>3</v>
      </c>
      <c r="Q40" s="729" t="e">
        <f>IF(O40="",0,P40*L40/'9b-Vloeronderhoud'!$F$6)</f>
        <v>#DIV/0!</v>
      </c>
      <c r="R40" s="449">
        <v>1</v>
      </c>
      <c r="S40" s="672">
        <v>120</v>
      </c>
      <c r="T40" s="161" t="e">
        <f t="shared" si="0"/>
        <v>#DIV/0!</v>
      </c>
      <c r="U40" s="162">
        <f>IF(S40="nio",0,IF(S40&gt;0,VLOOKUP(G40,'3-Productie normen'!A:K,VLOOKUP(S40,'3-Productie normen'!L:N,3,FALSE),FALSE)))</f>
        <v>0</v>
      </c>
      <c r="V40" s="162">
        <f>VLOOKUP(G40,'3-Productie normen'!A:K,10,FALSE)</f>
        <v>6152.9500017547598</v>
      </c>
      <c r="W40" s="163">
        <f>VLOOKUP(G40,'3-Productie normen'!A:K,11,FALSE)</f>
        <v>0</v>
      </c>
      <c r="X40" s="163"/>
      <c r="Z40" s="129">
        <f t="shared" si="1"/>
        <v>6156</v>
      </c>
    </row>
    <row r="41" spans="1:26" ht="14.1" customHeight="1">
      <c r="A41" s="144">
        <v>41</v>
      </c>
      <c r="B41" s="160" t="s">
        <v>257</v>
      </c>
      <c r="C41" s="303" t="s">
        <v>805</v>
      </c>
      <c r="D41" s="304">
        <v>1</v>
      </c>
      <c r="E41" s="694" t="s">
        <v>352</v>
      </c>
      <c r="F41" s="538" t="s">
        <v>452</v>
      </c>
      <c r="G41" s="533" t="s">
        <v>18</v>
      </c>
      <c r="H41" s="303" t="s">
        <v>955</v>
      </c>
      <c r="I41" s="582" t="str">
        <f>VLOOKUP(H41,'9a-Typen vloeren'!$A$10:$B$40,2,FALSE)</f>
        <v>zie kwaliteitsontwerp</v>
      </c>
      <c r="J41" s="433">
        <v>5.5</v>
      </c>
      <c r="K41" s="433">
        <f t="shared" si="2"/>
        <v>0</v>
      </c>
      <c r="L41" s="433">
        <f t="shared" si="3"/>
        <v>0</v>
      </c>
      <c r="M41" s="433">
        <f t="shared" si="4"/>
        <v>0</v>
      </c>
      <c r="N41" s="672"/>
      <c r="O41" s="729">
        <f>IF(N41="",0,N41*K41/'9b-Vloeronderhoud'!$F$4)</f>
        <v>0</v>
      </c>
      <c r="P41" s="672"/>
      <c r="Q41" s="729" t="e">
        <f>IF(O41="",0,P41*L41/'9b-Vloeronderhoud'!$F$6)</f>
        <v>#DIV/0!</v>
      </c>
      <c r="R41" s="449">
        <v>1</v>
      </c>
      <c r="S41" s="672">
        <v>190</v>
      </c>
      <c r="T41" s="161" t="e">
        <f t="shared" si="0"/>
        <v>#DIV/0!</v>
      </c>
      <c r="U41" s="162">
        <f>IF(S41="nio",0,IF(S41&gt;0,VLOOKUP(G41,'3-Productie normen'!A:K,VLOOKUP(S41,'3-Productie normen'!L:N,3,FALSE),FALSE)))</f>
        <v>0</v>
      </c>
      <c r="V41" s="162">
        <f>VLOOKUP(G41,'3-Productie normen'!A:K,10,FALSE)</f>
        <v>1859.5880019121171</v>
      </c>
      <c r="W41" s="163">
        <f>VLOOKUP(G41,'3-Productie normen'!A:K,11,FALSE)</f>
        <v>0</v>
      </c>
      <c r="X41" s="163"/>
      <c r="Z41" s="129">
        <f t="shared" si="1"/>
        <v>1045</v>
      </c>
    </row>
    <row r="42" spans="1:26" ht="14.1" customHeight="1">
      <c r="A42" s="144">
        <v>42</v>
      </c>
      <c r="B42" s="160" t="s">
        <v>257</v>
      </c>
      <c r="C42" s="303" t="s">
        <v>805</v>
      </c>
      <c r="D42" s="304">
        <v>1</v>
      </c>
      <c r="E42" s="694" t="s">
        <v>354</v>
      </c>
      <c r="F42" s="303" t="s">
        <v>267</v>
      </c>
      <c r="G42" s="533" t="s">
        <v>18</v>
      </c>
      <c r="H42" s="303" t="s">
        <v>955</v>
      </c>
      <c r="I42" s="582" t="str">
        <f>VLOOKUP(H42,'9a-Typen vloeren'!$A$10:$B$40,2,FALSE)</f>
        <v>zie kwaliteitsontwerp</v>
      </c>
      <c r="J42" s="433">
        <v>3</v>
      </c>
      <c r="K42" s="433">
        <f t="shared" si="2"/>
        <v>0</v>
      </c>
      <c r="L42" s="433">
        <f t="shared" si="3"/>
        <v>0</v>
      </c>
      <c r="M42" s="433">
        <f t="shared" si="4"/>
        <v>0</v>
      </c>
      <c r="N42" s="672"/>
      <c r="O42" s="729">
        <f>IF(N42="",0,N42*K42/'9b-Vloeronderhoud'!$F$4)</f>
        <v>0</v>
      </c>
      <c r="P42" s="672"/>
      <c r="Q42" s="729" t="e">
        <f>IF(O42="",0,P42*L42/'9b-Vloeronderhoud'!$F$6)</f>
        <v>#DIV/0!</v>
      </c>
      <c r="R42" s="449">
        <v>1</v>
      </c>
      <c r="S42" s="672">
        <v>190</v>
      </c>
      <c r="T42" s="161" t="e">
        <f t="shared" si="0"/>
        <v>#DIV/0!</v>
      </c>
      <c r="U42" s="162">
        <f>IF(S42="nio",0,IF(S42&gt;0,VLOOKUP(G42,'3-Productie normen'!A:K,VLOOKUP(S42,'3-Productie normen'!L:N,3,FALSE),FALSE)))</f>
        <v>0</v>
      </c>
      <c r="V42" s="162">
        <f>VLOOKUP(G42,'3-Productie normen'!A:K,10,FALSE)</f>
        <v>1859.5880019121171</v>
      </c>
      <c r="W42" s="163">
        <f>VLOOKUP(G42,'3-Productie normen'!A:K,11,FALSE)</f>
        <v>0</v>
      </c>
      <c r="X42" s="163"/>
      <c r="Z42" s="129">
        <f t="shared" si="1"/>
        <v>570</v>
      </c>
    </row>
    <row r="43" spans="1:26" ht="14.1" customHeight="1">
      <c r="A43" s="144">
        <v>43</v>
      </c>
      <c r="B43" s="160" t="s">
        <v>257</v>
      </c>
      <c r="C43" s="303" t="s">
        <v>805</v>
      </c>
      <c r="D43" s="304">
        <v>1</v>
      </c>
      <c r="E43" s="700" t="s">
        <v>355</v>
      </c>
      <c r="F43" s="541" t="s">
        <v>582</v>
      </c>
      <c r="G43" s="303" t="s">
        <v>189</v>
      </c>
      <c r="H43" s="303" t="s">
        <v>335</v>
      </c>
      <c r="I43" s="582" t="str">
        <f>VLOOKUP(H43,'9a-Typen vloeren'!$A$10:$B$40,2,FALSE)</f>
        <v>Schrobben</v>
      </c>
      <c r="J43" s="433">
        <v>19</v>
      </c>
      <c r="K43" s="433">
        <f t="shared" si="2"/>
        <v>0</v>
      </c>
      <c r="L43" s="433">
        <f t="shared" si="3"/>
        <v>19</v>
      </c>
      <c r="M43" s="433">
        <f t="shared" si="4"/>
        <v>0</v>
      </c>
      <c r="N43" s="672"/>
      <c r="O43" s="729">
        <f>IF(N43="",0,N43*K43/'9b-Vloeronderhoud'!$F$4)</f>
        <v>0</v>
      </c>
      <c r="P43" s="672"/>
      <c r="Q43" s="729" t="e">
        <f>IF(O43="",0,P43*L43/'9b-Vloeronderhoud'!$F$6)</f>
        <v>#DIV/0!</v>
      </c>
      <c r="R43" s="449">
        <v>1</v>
      </c>
      <c r="S43" s="672">
        <v>40</v>
      </c>
      <c r="T43" s="161" t="e">
        <f t="shared" si="0"/>
        <v>#DIV/0!</v>
      </c>
      <c r="U43" s="162">
        <f>IF(S43="nio",0,IF(S43&gt;0,VLOOKUP(G43,'3-Productie normen'!A:K,VLOOKUP(S43,'3-Productie normen'!L:N,3,FALSE),FALSE)))</f>
        <v>0</v>
      </c>
      <c r="V43" s="162">
        <f>VLOOKUP(G43,'3-Productie normen'!A:K,10,FALSE)</f>
        <v>1494.1700078582762</v>
      </c>
      <c r="W43" s="163">
        <f>VLOOKUP(G43,'3-Productie normen'!A:K,11,FALSE)</f>
        <v>0</v>
      </c>
      <c r="X43" s="163"/>
      <c r="Z43" s="129">
        <f t="shared" si="1"/>
        <v>760</v>
      </c>
    </row>
    <row r="44" spans="1:26" ht="14.1" customHeight="1">
      <c r="A44" s="144">
        <v>44</v>
      </c>
      <c r="B44" s="160" t="s">
        <v>257</v>
      </c>
      <c r="C44" s="303" t="s">
        <v>805</v>
      </c>
      <c r="D44" s="304">
        <v>1</v>
      </c>
      <c r="E44" s="694" t="s">
        <v>356</v>
      </c>
      <c r="F44" s="303" t="s">
        <v>452</v>
      </c>
      <c r="G44" s="533" t="s">
        <v>18</v>
      </c>
      <c r="H44" s="303" t="s">
        <v>955</v>
      </c>
      <c r="I44" s="582" t="str">
        <f>VLOOKUP(H44,'9a-Typen vloeren'!$A$10:$B$40,2,FALSE)</f>
        <v>zie kwaliteitsontwerp</v>
      </c>
      <c r="J44" s="433">
        <v>11.9</v>
      </c>
      <c r="K44" s="433">
        <f t="shared" si="2"/>
        <v>0</v>
      </c>
      <c r="L44" s="433">
        <f t="shared" si="3"/>
        <v>0</v>
      </c>
      <c r="M44" s="433">
        <f t="shared" si="4"/>
        <v>0</v>
      </c>
      <c r="N44" s="672"/>
      <c r="O44" s="729">
        <f>IF(N44="",0,N44*K44/'9b-Vloeronderhoud'!$F$4)</f>
        <v>0</v>
      </c>
      <c r="P44" s="672"/>
      <c r="Q44" s="729" t="e">
        <f>IF(O44="",0,P44*L44/'9b-Vloeronderhoud'!$F$6)</f>
        <v>#DIV/0!</v>
      </c>
      <c r="R44" s="449">
        <v>1</v>
      </c>
      <c r="S44" s="672">
        <v>190</v>
      </c>
      <c r="T44" s="161" t="e">
        <f t="shared" si="0"/>
        <v>#DIV/0!</v>
      </c>
      <c r="U44" s="162">
        <f>IF(S44="nio",0,IF(S44&gt;0,VLOOKUP(G44,'3-Productie normen'!A:K,VLOOKUP(S44,'3-Productie normen'!L:N,3,FALSE),FALSE)))</f>
        <v>0</v>
      </c>
      <c r="V44" s="162">
        <f>VLOOKUP(G44,'3-Productie normen'!A:K,10,FALSE)</f>
        <v>1859.5880019121171</v>
      </c>
      <c r="W44" s="163">
        <f>VLOOKUP(G44,'3-Productie normen'!A:K,11,FALSE)</f>
        <v>0</v>
      </c>
      <c r="X44" s="163"/>
      <c r="Z44" s="129">
        <f t="shared" si="1"/>
        <v>2261</v>
      </c>
    </row>
    <row r="45" spans="1:26" ht="14.1" customHeight="1">
      <c r="A45" s="144">
        <v>45</v>
      </c>
      <c r="B45" s="160" t="s">
        <v>257</v>
      </c>
      <c r="C45" s="303" t="s">
        <v>805</v>
      </c>
      <c r="D45" s="304">
        <v>1</v>
      </c>
      <c r="E45" s="694" t="s">
        <v>357</v>
      </c>
      <c r="F45" s="303" t="s">
        <v>404</v>
      </c>
      <c r="G45" s="546" t="s">
        <v>286</v>
      </c>
      <c r="H45" s="303" t="s">
        <v>335</v>
      </c>
      <c r="I45" s="582" t="str">
        <f>VLOOKUP(H45,'9a-Typen vloeren'!$A$10:$B$40,2,FALSE)</f>
        <v>Schrobben</v>
      </c>
      <c r="J45" s="433">
        <v>49.8</v>
      </c>
      <c r="K45" s="433">
        <f t="shared" si="2"/>
        <v>0</v>
      </c>
      <c r="L45" s="433">
        <f t="shared" si="3"/>
        <v>49.8</v>
      </c>
      <c r="M45" s="433">
        <f t="shared" si="4"/>
        <v>0</v>
      </c>
      <c r="N45" s="672"/>
      <c r="O45" s="729">
        <f>IF(N45="",0,N45*K45/'9b-Vloeronderhoud'!$F$4)</f>
        <v>0</v>
      </c>
      <c r="P45" s="672">
        <v>3</v>
      </c>
      <c r="Q45" s="729" t="e">
        <f>IF(O45="",0,P45*L45/'9b-Vloeronderhoud'!$F$6)</f>
        <v>#DIV/0!</v>
      </c>
      <c r="R45" s="449">
        <v>1</v>
      </c>
      <c r="S45" s="672">
        <v>120</v>
      </c>
      <c r="T45" s="161" t="e">
        <f t="shared" si="0"/>
        <v>#DIV/0!</v>
      </c>
      <c r="U45" s="162">
        <f>IF(S45="nio",0,IF(S45&gt;0,VLOOKUP(G45,'3-Productie normen'!A:K,VLOOKUP(S45,'3-Productie normen'!L:N,3,FALSE),FALSE)))</f>
        <v>0</v>
      </c>
      <c r="V45" s="162">
        <f>VLOOKUP(G45,'3-Productie normen'!A:K,10,FALSE)</f>
        <v>6152.9500017547598</v>
      </c>
      <c r="W45" s="163">
        <f>VLOOKUP(G45,'3-Productie normen'!A:K,11,FALSE)</f>
        <v>0</v>
      </c>
      <c r="X45" s="163"/>
      <c r="Z45" s="129">
        <f t="shared" si="1"/>
        <v>5976</v>
      </c>
    </row>
    <row r="46" spans="1:26" ht="14.1" customHeight="1">
      <c r="A46" s="144">
        <v>46</v>
      </c>
      <c r="B46" s="160" t="s">
        <v>257</v>
      </c>
      <c r="C46" s="303" t="s">
        <v>805</v>
      </c>
      <c r="D46" s="304">
        <v>1</v>
      </c>
      <c r="E46" s="694" t="s">
        <v>358</v>
      </c>
      <c r="F46" s="303" t="s">
        <v>818</v>
      </c>
      <c r="G46" s="122" t="s">
        <v>221</v>
      </c>
      <c r="H46" s="303" t="s">
        <v>335</v>
      </c>
      <c r="I46" s="582" t="str">
        <f>VLOOKUP(H46,'9a-Typen vloeren'!$A$10:$B$40,2,FALSE)</f>
        <v>Schrobben</v>
      </c>
      <c r="J46" s="433">
        <v>61.5</v>
      </c>
      <c r="K46" s="433">
        <f t="shared" si="2"/>
        <v>0</v>
      </c>
      <c r="L46" s="433">
        <f t="shared" si="3"/>
        <v>61.5</v>
      </c>
      <c r="M46" s="433">
        <f t="shared" si="4"/>
        <v>0</v>
      </c>
      <c r="N46" s="672"/>
      <c r="O46" s="729">
        <f>IF(N46="",0,N46*K46/'9b-Vloeronderhoud'!$F$4)</f>
        <v>0</v>
      </c>
      <c r="P46" s="672"/>
      <c r="Q46" s="729" t="e">
        <f>IF(O46="",0,P46*L46/'9b-Vloeronderhoud'!$F$6)</f>
        <v>#DIV/0!</v>
      </c>
      <c r="R46" s="449">
        <v>1</v>
      </c>
      <c r="S46" s="672">
        <v>80</v>
      </c>
      <c r="T46" s="161" t="e">
        <f t="shared" si="0"/>
        <v>#DIV/0!</v>
      </c>
      <c r="U46" s="162">
        <f>IF(S46="nio",0,IF(S46&gt;0,VLOOKUP(G46,'3-Productie normen'!A:K,VLOOKUP(S46,'3-Productie normen'!L:N,3,FALSE),FALSE)))</f>
        <v>0</v>
      </c>
      <c r="V46" s="162">
        <f>VLOOKUP(G46,'3-Productie normen'!A:K,10,FALSE)</f>
        <v>16013.110036668773</v>
      </c>
      <c r="W46" s="163">
        <f>VLOOKUP(G46,'3-Productie normen'!A:K,11,FALSE)</f>
        <v>0</v>
      </c>
      <c r="X46" s="163"/>
      <c r="Z46" s="129">
        <f t="shared" si="1"/>
        <v>4920</v>
      </c>
    </row>
    <row r="47" spans="1:26" ht="14.1" customHeight="1">
      <c r="A47" s="144">
        <v>47</v>
      </c>
      <c r="B47" s="160" t="s">
        <v>257</v>
      </c>
      <c r="C47" s="303" t="s">
        <v>805</v>
      </c>
      <c r="D47" s="304">
        <v>1</v>
      </c>
      <c r="E47" s="694" t="s">
        <v>359</v>
      </c>
      <c r="F47" s="303" t="s">
        <v>819</v>
      </c>
      <c r="G47" s="460" t="s">
        <v>881</v>
      </c>
      <c r="H47" s="303" t="s">
        <v>335</v>
      </c>
      <c r="I47" s="582" t="str">
        <f>VLOOKUP(H47,'9a-Typen vloeren'!$A$10:$B$40,2,FALSE)</f>
        <v>Schrobben</v>
      </c>
      <c r="J47" s="433">
        <v>5.7</v>
      </c>
      <c r="K47" s="433">
        <f t="shared" si="2"/>
        <v>0</v>
      </c>
      <c r="L47" s="433">
        <f t="shared" si="3"/>
        <v>0</v>
      </c>
      <c r="M47" s="433">
        <f t="shared" si="4"/>
        <v>0</v>
      </c>
      <c r="N47" s="672"/>
      <c r="O47" s="729">
        <f>IF(N47="",0,N47*K47/'9b-Vloeronderhoud'!$F$4)</f>
        <v>0</v>
      </c>
      <c r="P47" s="672"/>
      <c r="Q47" s="729" t="e">
        <f>IF(O47="",0,P47*L47/'9b-Vloeronderhoud'!$F$6)</f>
        <v>#DIV/0!</v>
      </c>
      <c r="R47" s="449">
        <v>1</v>
      </c>
      <c r="S47" s="672" t="s">
        <v>179</v>
      </c>
      <c r="T47" s="161">
        <f t="shared" si="0"/>
        <v>0</v>
      </c>
      <c r="U47" s="162">
        <f>IF(S47="nio",0,IF(S47&gt;0,VLOOKUP(G47,'3-Productie normen'!A:K,VLOOKUP(S47,'3-Productie normen'!L:N,3,FALSE),FALSE)))</f>
        <v>0</v>
      </c>
      <c r="V47" s="162">
        <f>VLOOKUP(G47,'3-Productie normen'!A:K,10,FALSE)</f>
        <v>5262.809993648526</v>
      </c>
      <c r="W47" s="163">
        <f>VLOOKUP(G47,'3-Productie normen'!A:K,11,FALSE)</f>
        <v>0</v>
      </c>
      <c r="X47" s="163"/>
      <c r="Z47" s="129">
        <f t="shared" si="1"/>
        <v>0</v>
      </c>
    </row>
    <row r="48" spans="1:26" ht="14.1" customHeight="1">
      <c r="A48" s="144">
        <v>48</v>
      </c>
      <c r="B48" s="160" t="s">
        <v>257</v>
      </c>
      <c r="C48" s="303" t="s">
        <v>805</v>
      </c>
      <c r="D48" s="304">
        <v>1</v>
      </c>
      <c r="E48" s="694" t="s">
        <v>361</v>
      </c>
      <c r="F48" s="303" t="s">
        <v>820</v>
      </c>
      <c r="G48" s="303" t="s">
        <v>221</v>
      </c>
      <c r="H48" s="303" t="s">
        <v>335</v>
      </c>
      <c r="I48" s="582" t="str">
        <f>VLOOKUP(H48,'9a-Typen vloeren'!$A$10:$B$40,2,FALSE)</f>
        <v>Schrobben</v>
      </c>
      <c r="J48" s="433">
        <v>23.8</v>
      </c>
      <c r="K48" s="433">
        <f t="shared" si="2"/>
        <v>0</v>
      </c>
      <c r="L48" s="433">
        <f t="shared" si="3"/>
        <v>23.8</v>
      </c>
      <c r="M48" s="433">
        <f t="shared" si="4"/>
        <v>0</v>
      </c>
      <c r="N48" s="672"/>
      <c r="O48" s="729">
        <f>IF(N48="",0,N48*K48/'9b-Vloeronderhoud'!$F$4)</f>
        <v>0</v>
      </c>
      <c r="P48" s="672"/>
      <c r="Q48" s="729" t="e">
        <f>IF(O48="",0,P48*L48/'9b-Vloeronderhoud'!$F$6)</f>
        <v>#DIV/0!</v>
      </c>
      <c r="R48" s="449">
        <v>1</v>
      </c>
      <c r="S48" s="672">
        <v>80</v>
      </c>
      <c r="T48" s="161" t="e">
        <f t="shared" si="0"/>
        <v>#DIV/0!</v>
      </c>
      <c r="U48" s="162">
        <f>IF(S48="nio",0,IF(S48&gt;0,VLOOKUP(G48,'3-Productie normen'!A:K,VLOOKUP(S48,'3-Productie normen'!L:N,3,FALSE),FALSE)))</f>
        <v>0</v>
      </c>
      <c r="V48" s="162">
        <f>VLOOKUP(G48,'3-Productie normen'!A:K,10,FALSE)</f>
        <v>16013.110036668773</v>
      </c>
      <c r="W48" s="163">
        <f>VLOOKUP(G48,'3-Productie normen'!A:K,11,FALSE)</f>
        <v>0</v>
      </c>
      <c r="X48" s="163"/>
      <c r="Z48" s="129">
        <f t="shared" si="1"/>
        <v>1904</v>
      </c>
    </row>
    <row r="49" spans="1:26" ht="14.1" customHeight="1">
      <c r="A49" s="144">
        <v>49</v>
      </c>
      <c r="B49" s="160" t="s">
        <v>257</v>
      </c>
      <c r="C49" s="303" t="s">
        <v>805</v>
      </c>
      <c r="D49" s="304">
        <v>1</v>
      </c>
      <c r="E49" s="694" t="s">
        <v>363</v>
      </c>
      <c r="F49" s="303" t="s">
        <v>452</v>
      </c>
      <c r="G49" s="533" t="s">
        <v>18</v>
      </c>
      <c r="H49" s="303" t="s">
        <v>955</v>
      </c>
      <c r="I49" s="582" t="str">
        <f>VLOOKUP(H49,'9a-Typen vloeren'!$A$10:$B$40,2,FALSE)</f>
        <v>zie kwaliteitsontwerp</v>
      </c>
      <c r="J49" s="433">
        <v>5.4</v>
      </c>
      <c r="K49" s="433">
        <f t="shared" si="2"/>
        <v>0</v>
      </c>
      <c r="L49" s="433">
        <f t="shared" si="3"/>
        <v>0</v>
      </c>
      <c r="M49" s="433">
        <f t="shared" si="4"/>
        <v>0</v>
      </c>
      <c r="N49" s="672"/>
      <c r="O49" s="729">
        <f>IF(N49="",0,N49*K49/'9b-Vloeronderhoud'!$F$4)</f>
        <v>0</v>
      </c>
      <c r="P49" s="672"/>
      <c r="Q49" s="729" t="e">
        <f>IF(O49="",0,P49*L49/'9b-Vloeronderhoud'!$F$6)</f>
        <v>#DIV/0!</v>
      </c>
      <c r="R49" s="449">
        <v>1</v>
      </c>
      <c r="S49" s="672">
        <v>190</v>
      </c>
      <c r="T49" s="161" t="e">
        <f t="shared" si="0"/>
        <v>#DIV/0!</v>
      </c>
      <c r="U49" s="162">
        <f>IF(S49="nio",0,IF(S49&gt;0,VLOOKUP(G49,'3-Productie normen'!A:K,VLOOKUP(S49,'3-Productie normen'!L:N,3,FALSE),FALSE)))</f>
        <v>0</v>
      </c>
      <c r="V49" s="162">
        <f>VLOOKUP(G49,'3-Productie normen'!A:K,10,FALSE)</f>
        <v>1859.5880019121171</v>
      </c>
      <c r="W49" s="163">
        <f>VLOOKUP(G49,'3-Productie normen'!A:K,11,FALSE)</f>
        <v>0</v>
      </c>
      <c r="X49" s="163"/>
      <c r="Z49" s="129">
        <f t="shared" si="1"/>
        <v>1026</v>
      </c>
    </row>
    <row r="50" spans="1:26" ht="14.1" customHeight="1">
      <c r="A50" s="144">
        <v>50</v>
      </c>
      <c r="B50" s="160" t="s">
        <v>257</v>
      </c>
      <c r="C50" s="303" t="s">
        <v>805</v>
      </c>
      <c r="D50" s="304">
        <v>1</v>
      </c>
      <c r="E50" s="694" t="s">
        <v>364</v>
      </c>
      <c r="F50" s="303" t="s">
        <v>821</v>
      </c>
      <c r="G50" s="303" t="s">
        <v>221</v>
      </c>
      <c r="H50" s="303" t="s">
        <v>335</v>
      </c>
      <c r="I50" s="582" t="str">
        <f>VLOOKUP(H50,'9a-Typen vloeren'!$A$10:$B$40,2,FALSE)</f>
        <v>Schrobben</v>
      </c>
      <c r="J50" s="433">
        <v>59.5</v>
      </c>
      <c r="K50" s="433">
        <f t="shared" si="2"/>
        <v>0</v>
      </c>
      <c r="L50" s="433">
        <f t="shared" si="3"/>
        <v>59.5</v>
      </c>
      <c r="M50" s="433">
        <f t="shared" si="4"/>
        <v>0</v>
      </c>
      <c r="N50" s="672"/>
      <c r="O50" s="729">
        <f>IF(N50="",0,N50*K50/'9b-Vloeronderhoud'!$F$4)</f>
        <v>0</v>
      </c>
      <c r="P50" s="672"/>
      <c r="Q50" s="729" t="e">
        <f>IF(O50="",0,P50*L50/'9b-Vloeronderhoud'!$F$6)</f>
        <v>#DIV/0!</v>
      </c>
      <c r="R50" s="449">
        <v>1</v>
      </c>
      <c r="S50" s="672">
        <v>80</v>
      </c>
      <c r="T50" s="161" t="e">
        <f t="shared" si="0"/>
        <v>#DIV/0!</v>
      </c>
      <c r="U50" s="162">
        <f>IF(S50="nio",0,IF(S50&gt;0,VLOOKUP(G50,'3-Productie normen'!A:K,VLOOKUP(S50,'3-Productie normen'!L:N,3,FALSE),FALSE)))</f>
        <v>0</v>
      </c>
      <c r="V50" s="162">
        <f>VLOOKUP(G50,'3-Productie normen'!A:K,10,FALSE)</f>
        <v>16013.110036668773</v>
      </c>
      <c r="W50" s="163">
        <f>VLOOKUP(G50,'3-Productie normen'!A:K,11,FALSE)</f>
        <v>0</v>
      </c>
      <c r="X50" s="163"/>
      <c r="Z50" s="129">
        <f t="shared" si="1"/>
        <v>4760</v>
      </c>
    </row>
    <row r="51" spans="1:26" ht="14.1" customHeight="1">
      <c r="A51" s="144">
        <v>51</v>
      </c>
      <c r="B51" s="160" t="s">
        <v>257</v>
      </c>
      <c r="C51" s="303" t="s">
        <v>805</v>
      </c>
      <c r="D51" s="304">
        <v>1</v>
      </c>
      <c r="E51" s="694" t="s">
        <v>366</v>
      </c>
      <c r="F51" s="303" t="s">
        <v>822</v>
      </c>
      <c r="G51" s="460" t="s">
        <v>881</v>
      </c>
      <c r="H51" s="303" t="s">
        <v>335</v>
      </c>
      <c r="I51" s="582" t="str">
        <f>VLOOKUP(H51,'9a-Typen vloeren'!$A$10:$B$40,2,FALSE)</f>
        <v>Schrobben</v>
      </c>
      <c r="J51" s="433">
        <v>5.7</v>
      </c>
      <c r="K51" s="433">
        <f t="shared" si="2"/>
        <v>0</v>
      </c>
      <c r="L51" s="433">
        <f t="shared" si="3"/>
        <v>0</v>
      </c>
      <c r="M51" s="433">
        <f t="shared" si="4"/>
        <v>0</v>
      </c>
      <c r="N51" s="672"/>
      <c r="O51" s="729">
        <f>IF(N51="",0,N51*K51/'9b-Vloeronderhoud'!$F$4)</f>
        <v>0</v>
      </c>
      <c r="P51" s="672"/>
      <c r="Q51" s="729" t="e">
        <f>IF(O51="",0,P51*L51/'9b-Vloeronderhoud'!$F$6)</f>
        <v>#DIV/0!</v>
      </c>
      <c r="R51" s="449">
        <v>1</v>
      </c>
      <c r="S51" s="672" t="s">
        <v>179</v>
      </c>
      <c r="T51" s="161">
        <f t="shared" si="0"/>
        <v>0</v>
      </c>
      <c r="U51" s="162">
        <f>IF(S51="nio",0,IF(S51&gt;0,VLOOKUP(G51,'3-Productie normen'!A:K,VLOOKUP(S51,'3-Productie normen'!L:N,3,FALSE),FALSE)))</f>
        <v>0</v>
      </c>
      <c r="V51" s="162">
        <f>VLOOKUP(G51,'3-Productie normen'!A:K,10,FALSE)</f>
        <v>5262.809993648526</v>
      </c>
      <c r="W51" s="163">
        <f>VLOOKUP(G51,'3-Productie normen'!A:K,11,FALSE)</f>
        <v>0</v>
      </c>
      <c r="X51" s="163"/>
      <c r="Z51" s="129">
        <f t="shared" si="1"/>
        <v>0</v>
      </c>
    </row>
    <row r="52" spans="1:26" ht="14.1" customHeight="1">
      <c r="A52" s="144">
        <v>52</v>
      </c>
      <c r="B52" s="160" t="s">
        <v>257</v>
      </c>
      <c r="C52" s="303" t="s">
        <v>805</v>
      </c>
      <c r="D52" s="304">
        <v>1</v>
      </c>
      <c r="E52" s="694" t="s">
        <v>367</v>
      </c>
      <c r="F52" s="303" t="s">
        <v>823</v>
      </c>
      <c r="G52" s="533" t="s">
        <v>287</v>
      </c>
      <c r="H52" s="303" t="s">
        <v>335</v>
      </c>
      <c r="I52" s="582" t="str">
        <f>VLOOKUP(H52,'9a-Typen vloeren'!$A$10:$B$40,2,FALSE)</f>
        <v>Schrobben</v>
      </c>
      <c r="J52" s="433">
        <v>1.4</v>
      </c>
      <c r="K52" s="433">
        <f t="shared" si="2"/>
        <v>0</v>
      </c>
      <c r="L52" s="433">
        <f t="shared" si="3"/>
        <v>1.4</v>
      </c>
      <c r="M52" s="433">
        <f t="shared" si="4"/>
        <v>0</v>
      </c>
      <c r="N52" s="672"/>
      <c r="O52" s="729">
        <f>IF(N52="",0,N52*K52/'9b-Vloeronderhoud'!$F$4)</f>
        <v>0</v>
      </c>
      <c r="P52" s="672"/>
      <c r="Q52" s="729" t="e">
        <f>IF(O52="",0,P52*L52/'9b-Vloeronderhoud'!$F$6)</f>
        <v>#DIV/0!</v>
      </c>
      <c r="R52" s="449">
        <v>1</v>
      </c>
      <c r="S52" s="672">
        <v>80</v>
      </c>
      <c r="T52" s="161" t="e">
        <f t="shared" si="0"/>
        <v>#DIV/0!</v>
      </c>
      <c r="U52" s="162">
        <f>IF(S52="nio",0,IF(S52&gt;0,VLOOKUP(G52,'3-Productie normen'!A:K,VLOOKUP(S52,'3-Productie normen'!L:N,3,FALSE),FALSE)))</f>
        <v>0</v>
      </c>
      <c r="V52" s="162">
        <f>VLOOKUP(G52,'3-Productie normen'!A:K,10,FALSE)</f>
        <v>519.460002565384</v>
      </c>
      <c r="W52" s="163">
        <f>VLOOKUP(G52,'3-Productie normen'!A:K,11,FALSE)</f>
        <v>0</v>
      </c>
      <c r="X52" s="163"/>
      <c r="Z52" s="129">
        <f t="shared" si="1"/>
        <v>112</v>
      </c>
    </row>
    <row r="53" spans="1:26" ht="14.1" customHeight="1">
      <c r="A53" s="144">
        <v>53</v>
      </c>
      <c r="B53" s="160" t="s">
        <v>257</v>
      </c>
      <c r="C53" s="303" t="s">
        <v>805</v>
      </c>
      <c r="D53" s="304">
        <v>1</v>
      </c>
      <c r="E53" s="694" t="s">
        <v>368</v>
      </c>
      <c r="F53" s="303" t="s">
        <v>824</v>
      </c>
      <c r="G53" s="303" t="s">
        <v>221</v>
      </c>
      <c r="H53" s="303" t="s">
        <v>335</v>
      </c>
      <c r="I53" s="582" t="str">
        <f>VLOOKUP(H53,'9a-Typen vloeren'!$A$10:$B$40,2,FALSE)</f>
        <v>Schrobben</v>
      </c>
      <c r="J53" s="433">
        <v>59.5</v>
      </c>
      <c r="K53" s="433">
        <f t="shared" si="2"/>
        <v>0</v>
      </c>
      <c r="L53" s="433">
        <f t="shared" si="3"/>
        <v>59.5</v>
      </c>
      <c r="M53" s="433">
        <f t="shared" si="4"/>
        <v>0</v>
      </c>
      <c r="N53" s="672"/>
      <c r="O53" s="729">
        <f>IF(N53="",0,N53*K53/'9b-Vloeronderhoud'!$F$4)</f>
        <v>0</v>
      </c>
      <c r="P53" s="672"/>
      <c r="Q53" s="729" t="e">
        <f>IF(O53="",0,P53*L53/'9b-Vloeronderhoud'!$F$6)</f>
        <v>#DIV/0!</v>
      </c>
      <c r="R53" s="449">
        <v>1</v>
      </c>
      <c r="S53" s="672">
        <v>80</v>
      </c>
      <c r="T53" s="161" t="e">
        <f t="shared" si="0"/>
        <v>#DIV/0!</v>
      </c>
      <c r="U53" s="162">
        <f>IF(S53="nio",0,IF(S53&gt;0,VLOOKUP(G53,'3-Productie normen'!A:K,VLOOKUP(S53,'3-Productie normen'!L:N,3,FALSE),FALSE)))</f>
        <v>0</v>
      </c>
      <c r="V53" s="162">
        <f>VLOOKUP(G53,'3-Productie normen'!A:K,10,FALSE)</f>
        <v>16013.110036668773</v>
      </c>
      <c r="W53" s="163">
        <f>VLOOKUP(G53,'3-Productie normen'!A:K,11,FALSE)</f>
        <v>0</v>
      </c>
      <c r="X53" s="163"/>
      <c r="Z53" s="129">
        <f t="shared" si="1"/>
        <v>4760</v>
      </c>
    </row>
    <row r="54" spans="1:26" ht="14.1" customHeight="1">
      <c r="A54" s="144">
        <v>54</v>
      </c>
      <c r="B54" s="160" t="s">
        <v>257</v>
      </c>
      <c r="C54" s="303" t="s">
        <v>805</v>
      </c>
      <c r="D54" s="304">
        <v>1</v>
      </c>
      <c r="E54" s="694" t="s">
        <v>369</v>
      </c>
      <c r="F54" s="303" t="s">
        <v>825</v>
      </c>
      <c r="G54" s="460" t="s">
        <v>881</v>
      </c>
      <c r="H54" s="303" t="s">
        <v>335</v>
      </c>
      <c r="I54" s="582" t="str">
        <f>VLOOKUP(H54,'9a-Typen vloeren'!$A$10:$B$40,2,FALSE)</f>
        <v>Schrobben</v>
      </c>
      <c r="J54" s="433">
        <v>5.7</v>
      </c>
      <c r="K54" s="433">
        <f t="shared" si="2"/>
        <v>0</v>
      </c>
      <c r="L54" s="433">
        <f t="shared" si="3"/>
        <v>0</v>
      </c>
      <c r="M54" s="433">
        <f t="shared" si="4"/>
        <v>0</v>
      </c>
      <c r="N54" s="672"/>
      <c r="O54" s="729">
        <f>IF(N54="",0,N54*K54/'9b-Vloeronderhoud'!$F$4)</f>
        <v>0</v>
      </c>
      <c r="P54" s="672"/>
      <c r="Q54" s="729" t="e">
        <f>IF(O54="",0,P54*L54/'9b-Vloeronderhoud'!$F$6)</f>
        <v>#DIV/0!</v>
      </c>
      <c r="R54" s="449">
        <v>1</v>
      </c>
      <c r="S54" s="672" t="s">
        <v>179</v>
      </c>
      <c r="T54" s="161">
        <f t="shared" si="0"/>
        <v>0</v>
      </c>
      <c r="U54" s="162">
        <f>IF(S54="nio",0,IF(S54&gt;0,VLOOKUP(G54,'3-Productie normen'!A:K,VLOOKUP(S54,'3-Productie normen'!L:N,3,FALSE),FALSE)))</f>
        <v>0</v>
      </c>
      <c r="V54" s="162">
        <f>VLOOKUP(G54,'3-Productie normen'!A:K,10,FALSE)</f>
        <v>5262.809993648526</v>
      </c>
      <c r="W54" s="163">
        <f>VLOOKUP(G54,'3-Productie normen'!A:K,11,FALSE)</f>
        <v>0</v>
      </c>
      <c r="X54" s="163"/>
      <c r="Z54" s="129">
        <f t="shared" si="1"/>
        <v>0</v>
      </c>
    </row>
    <row r="55" spans="1:26" ht="14.1" customHeight="1">
      <c r="A55" s="144">
        <v>55</v>
      </c>
      <c r="B55" s="160" t="s">
        <v>257</v>
      </c>
      <c r="C55" s="303" t="s">
        <v>805</v>
      </c>
      <c r="D55" s="304">
        <v>1</v>
      </c>
      <c r="E55" s="694" t="s">
        <v>370</v>
      </c>
      <c r="F55" s="303" t="s">
        <v>820</v>
      </c>
      <c r="G55" s="122" t="s">
        <v>221</v>
      </c>
      <c r="H55" s="303" t="s">
        <v>335</v>
      </c>
      <c r="I55" s="582" t="str">
        <f>VLOOKUP(H55,'9a-Typen vloeren'!$A$10:$B$40,2,FALSE)</f>
        <v>Schrobben</v>
      </c>
      <c r="J55" s="433">
        <v>23.8</v>
      </c>
      <c r="K55" s="433">
        <f t="shared" si="2"/>
        <v>0</v>
      </c>
      <c r="L55" s="433">
        <f t="shared" si="3"/>
        <v>23.8</v>
      </c>
      <c r="M55" s="433">
        <f t="shared" si="4"/>
        <v>0</v>
      </c>
      <c r="N55" s="672"/>
      <c r="O55" s="729">
        <f>IF(N55="",0,N55*K55/'9b-Vloeronderhoud'!$F$4)</f>
        <v>0</v>
      </c>
      <c r="P55" s="672"/>
      <c r="Q55" s="729" t="e">
        <f>IF(O55="",0,P55*L55/'9b-Vloeronderhoud'!$F$6)</f>
        <v>#DIV/0!</v>
      </c>
      <c r="R55" s="449">
        <v>1</v>
      </c>
      <c r="S55" s="672">
        <v>80</v>
      </c>
      <c r="T55" s="161" t="e">
        <f t="shared" si="0"/>
        <v>#DIV/0!</v>
      </c>
      <c r="U55" s="162">
        <f>IF(S55="nio",0,IF(S55&gt;0,VLOOKUP(G55,'3-Productie normen'!A:K,VLOOKUP(S55,'3-Productie normen'!L:N,3,FALSE),FALSE)))</f>
        <v>0</v>
      </c>
      <c r="V55" s="162">
        <f>VLOOKUP(G55,'3-Productie normen'!A:K,10,FALSE)</f>
        <v>16013.110036668773</v>
      </c>
      <c r="W55" s="163">
        <f>VLOOKUP(G55,'3-Productie normen'!A:K,11,FALSE)</f>
        <v>0</v>
      </c>
      <c r="X55" s="163"/>
      <c r="Z55" s="129">
        <f t="shared" si="1"/>
        <v>1904</v>
      </c>
    </row>
    <row r="56" spans="1:26" ht="14.1" customHeight="1">
      <c r="A56" s="144">
        <v>56</v>
      </c>
      <c r="B56" s="160" t="s">
        <v>257</v>
      </c>
      <c r="C56" s="303" t="s">
        <v>805</v>
      </c>
      <c r="D56" s="304">
        <v>1</v>
      </c>
      <c r="E56" s="694" t="s">
        <v>371</v>
      </c>
      <c r="F56" s="303" t="s">
        <v>452</v>
      </c>
      <c r="G56" s="122" t="s">
        <v>18</v>
      </c>
      <c r="H56" s="303" t="s">
        <v>955</v>
      </c>
      <c r="I56" s="582" t="str">
        <f>VLOOKUP(H56,'9a-Typen vloeren'!$A$10:$B$40,2,FALSE)</f>
        <v>zie kwaliteitsontwerp</v>
      </c>
      <c r="J56" s="433">
        <v>5.4</v>
      </c>
      <c r="K56" s="433">
        <f t="shared" si="2"/>
        <v>0</v>
      </c>
      <c r="L56" s="433">
        <f t="shared" si="3"/>
        <v>0</v>
      </c>
      <c r="M56" s="433">
        <f t="shared" si="4"/>
        <v>0</v>
      </c>
      <c r="N56" s="672"/>
      <c r="O56" s="729">
        <f>IF(N56="",0,N56*K56/'9b-Vloeronderhoud'!$F$4)</f>
        <v>0</v>
      </c>
      <c r="P56" s="672"/>
      <c r="Q56" s="729" t="e">
        <f>IF(O56="",0,P56*L56/'9b-Vloeronderhoud'!$F$6)</f>
        <v>#DIV/0!</v>
      </c>
      <c r="R56" s="449">
        <v>1</v>
      </c>
      <c r="S56" s="672">
        <v>190</v>
      </c>
      <c r="T56" s="161" t="e">
        <f t="shared" si="0"/>
        <v>#DIV/0!</v>
      </c>
      <c r="U56" s="162">
        <f>IF(S56="nio",0,IF(S56&gt;0,VLOOKUP(G56,'3-Productie normen'!A:K,VLOOKUP(S56,'3-Productie normen'!L:N,3,FALSE),FALSE)))</f>
        <v>0</v>
      </c>
      <c r="V56" s="162">
        <f>VLOOKUP(G56,'3-Productie normen'!A:K,10,FALSE)</f>
        <v>1859.5880019121171</v>
      </c>
      <c r="W56" s="163">
        <f>VLOOKUP(G56,'3-Productie normen'!A:K,11,FALSE)</f>
        <v>0</v>
      </c>
      <c r="X56" s="163"/>
      <c r="Z56" s="129">
        <f t="shared" si="1"/>
        <v>1026</v>
      </c>
    </row>
    <row r="57" spans="1:26" ht="14.1" customHeight="1">
      <c r="A57" s="144">
        <v>57</v>
      </c>
      <c r="B57" s="485" t="s">
        <v>257</v>
      </c>
      <c r="C57" s="303" t="s">
        <v>805</v>
      </c>
      <c r="D57" s="304">
        <v>1</v>
      </c>
      <c r="E57" s="694" t="s">
        <v>372</v>
      </c>
      <c r="F57" s="303" t="s">
        <v>826</v>
      </c>
      <c r="G57" s="122" t="s">
        <v>221</v>
      </c>
      <c r="H57" s="303" t="s">
        <v>335</v>
      </c>
      <c r="I57" s="582" t="str">
        <f>VLOOKUP(H57,'9a-Typen vloeren'!$A$10:$B$40,2,FALSE)</f>
        <v>Schrobben</v>
      </c>
      <c r="J57" s="433">
        <v>61.5</v>
      </c>
      <c r="K57" s="433">
        <f t="shared" si="2"/>
        <v>0</v>
      </c>
      <c r="L57" s="433">
        <f t="shared" si="3"/>
        <v>61.5</v>
      </c>
      <c r="M57" s="433">
        <f t="shared" si="4"/>
        <v>0</v>
      </c>
      <c r="N57" s="672"/>
      <c r="O57" s="729">
        <f>IF(N57="",0,N57*K57/'9b-Vloeronderhoud'!$F$4)</f>
        <v>0</v>
      </c>
      <c r="P57" s="672"/>
      <c r="Q57" s="729" t="e">
        <f>IF(O57="",0,P57*L57/'9b-Vloeronderhoud'!$F$6)</f>
        <v>#DIV/0!</v>
      </c>
      <c r="R57" s="449">
        <v>1</v>
      </c>
      <c r="S57" s="672">
        <v>80</v>
      </c>
      <c r="T57" s="161" t="e">
        <f t="shared" si="0"/>
        <v>#DIV/0!</v>
      </c>
      <c r="U57" s="162">
        <f>IF(S57="nio",0,IF(S57&gt;0,VLOOKUP(G57,'3-Productie normen'!A:K,VLOOKUP(S57,'3-Productie normen'!L:N,3,FALSE),FALSE)))</f>
        <v>0</v>
      </c>
      <c r="V57" s="162">
        <f>VLOOKUP(G57,'3-Productie normen'!A:K,10,FALSE)</f>
        <v>16013.110036668773</v>
      </c>
      <c r="W57" s="163">
        <f>VLOOKUP(G57,'3-Productie normen'!A:K,11,FALSE)</f>
        <v>0</v>
      </c>
      <c r="X57" s="163"/>
      <c r="Z57" s="129">
        <f t="shared" si="1"/>
        <v>4920</v>
      </c>
    </row>
    <row r="58" spans="1:26" ht="14.1" customHeight="1">
      <c r="A58" s="144">
        <v>58</v>
      </c>
      <c r="B58" s="485" t="s">
        <v>257</v>
      </c>
      <c r="C58" s="303" t="s">
        <v>805</v>
      </c>
      <c r="D58" s="304">
        <v>1</v>
      </c>
      <c r="E58" s="694" t="s">
        <v>386</v>
      </c>
      <c r="F58" s="303" t="s">
        <v>827</v>
      </c>
      <c r="G58" s="460" t="s">
        <v>881</v>
      </c>
      <c r="H58" s="303" t="s">
        <v>335</v>
      </c>
      <c r="I58" s="582" t="str">
        <f>VLOOKUP(H58,'9a-Typen vloeren'!$A$10:$B$40,2,FALSE)</f>
        <v>Schrobben</v>
      </c>
      <c r="J58" s="433">
        <v>5.7</v>
      </c>
      <c r="K58" s="433">
        <f t="shared" si="2"/>
        <v>0</v>
      </c>
      <c r="L58" s="433">
        <f t="shared" si="3"/>
        <v>0</v>
      </c>
      <c r="M58" s="433">
        <f t="shared" si="4"/>
        <v>0</v>
      </c>
      <c r="N58" s="672"/>
      <c r="O58" s="729">
        <f>IF(N58="",0,N58*K58/'9b-Vloeronderhoud'!$F$4)</f>
        <v>0</v>
      </c>
      <c r="P58" s="672"/>
      <c r="Q58" s="729" t="e">
        <f>IF(O58="",0,P58*L58/'9b-Vloeronderhoud'!$F$6)</f>
        <v>#DIV/0!</v>
      </c>
      <c r="R58" s="449">
        <v>1</v>
      </c>
      <c r="S58" s="672" t="s">
        <v>179</v>
      </c>
      <c r="T58" s="161">
        <f t="shared" si="0"/>
        <v>0</v>
      </c>
      <c r="U58" s="162">
        <f>IF(S58="nio",0,IF(S58&gt;0,VLOOKUP(G58,'3-Productie normen'!A:K,VLOOKUP(S58,'3-Productie normen'!L:N,3,FALSE),FALSE)))</f>
        <v>0</v>
      </c>
      <c r="V58" s="162">
        <f>VLOOKUP(G58,'3-Productie normen'!A:K,10,FALSE)</f>
        <v>5262.809993648526</v>
      </c>
      <c r="W58" s="163">
        <f>VLOOKUP(G58,'3-Productie normen'!A:K,11,FALSE)</f>
        <v>0</v>
      </c>
      <c r="X58" s="163"/>
      <c r="Z58" s="129">
        <f t="shared" si="1"/>
        <v>0</v>
      </c>
    </row>
    <row r="59" spans="1:26" ht="14.1" customHeight="1">
      <c r="A59" s="144">
        <v>59</v>
      </c>
      <c r="B59" s="485" t="s">
        <v>257</v>
      </c>
      <c r="C59" s="303" t="s">
        <v>805</v>
      </c>
      <c r="D59" s="304">
        <v>1</v>
      </c>
      <c r="E59" s="694" t="s">
        <v>387</v>
      </c>
      <c r="F59" s="303" t="s">
        <v>382</v>
      </c>
      <c r="G59" s="460" t="s">
        <v>881</v>
      </c>
      <c r="H59" s="303" t="s">
        <v>335</v>
      </c>
      <c r="I59" s="582" t="str">
        <f>VLOOKUP(H59,'9a-Typen vloeren'!$A$10:$B$40,2,FALSE)</f>
        <v>Schrobben</v>
      </c>
      <c r="J59" s="433">
        <v>6.6</v>
      </c>
      <c r="K59" s="433">
        <f t="shared" si="2"/>
        <v>0</v>
      </c>
      <c r="L59" s="433">
        <f t="shared" si="3"/>
        <v>0</v>
      </c>
      <c r="M59" s="433">
        <f t="shared" si="4"/>
        <v>0</v>
      </c>
      <c r="N59" s="672"/>
      <c r="O59" s="729">
        <f>IF(N59="",0,N59*K59/'9b-Vloeronderhoud'!$F$4)</f>
        <v>0</v>
      </c>
      <c r="P59" s="672"/>
      <c r="Q59" s="729" t="e">
        <f>IF(O59="",0,P59*L59/'9b-Vloeronderhoud'!$F$6)</f>
        <v>#DIV/0!</v>
      </c>
      <c r="R59" s="449">
        <v>1</v>
      </c>
      <c r="S59" s="672" t="s">
        <v>179</v>
      </c>
      <c r="T59" s="161">
        <f t="shared" si="0"/>
        <v>0</v>
      </c>
      <c r="U59" s="162">
        <f>IF(S59="nio",0,IF(S59&gt;0,VLOOKUP(G59,'3-Productie normen'!A:K,VLOOKUP(S59,'3-Productie normen'!L:N,3,FALSE),FALSE)))</f>
        <v>0</v>
      </c>
      <c r="V59" s="162">
        <f>VLOOKUP(G59,'3-Productie normen'!A:K,10,FALSE)</f>
        <v>5262.809993648526</v>
      </c>
      <c r="W59" s="163">
        <f>VLOOKUP(G59,'3-Productie normen'!A:K,11,FALSE)</f>
        <v>0</v>
      </c>
      <c r="X59" s="163"/>
      <c r="Z59" s="129">
        <f t="shared" si="1"/>
        <v>0</v>
      </c>
    </row>
    <row r="60" spans="1:26" ht="14.1" customHeight="1">
      <c r="A60" s="144">
        <v>60</v>
      </c>
      <c r="B60" s="485" t="s">
        <v>257</v>
      </c>
      <c r="C60" s="303" t="s">
        <v>805</v>
      </c>
      <c r="D60" s="304">
        <v>1</v>
      </c>
      <c r="E60" s="694" t="s">
        <v>388</v>
      </c>
      <c r="F60" s="303" t="s">
        <v>828</v>
      </c>
      <c r="G60" s="546" t="s">
        <v>221</v>
      </c>
      <c r="H60" s="303" t="s">
        <v>335</v>
      </c>
      <c r="I60" s="582" t="str">
        <f>VLOOKUP(H60,'9a-Typen vloeren'!$A$10:$B$40,2,FALSE)</f>
        <v>Schrobben</v>
      </c>
      <c r="J60" s="433">
        <v>59.3</v>
      </c>
      <c r="K60" s="433">
        <f t="shared" si="2"/>
        <v>0</v>
      </c>
      <c r="L60" s="433">
        <f t="shared" si="3"/>
        <v>59.3</v>
      </c>
      <c r="M60" s="433">
        <f t="shared" si="4"/>
        <v>0</v>
      </c>
      <c r="N60" s="672"/>
      <c r="O60" s="729">
        <f>IF(N60="",0,N60*K60/'9b-Vloeronderhoud'!$F$4)</f>
        <v>0</v>
      </c>
      <c r="P60" s="672"/>
      <c r="Q60" s="729" t="e">
        <f>IF(O60="",0,P60*L60/'9b-Vloeronderhoud'!$F$6)</f>
        <v>#DIV/0!</v>
      </c>
      <c r="R60" s="449">
        <v>1</v>
      </c>
      <c r="S60" s="672">
        <v>80</v>
      </c>
      <c r="T60" s="161" t="e">
        <f t="shared" si="0"/>
        <v>#DIV/0!</v>
      </c>
      <c r="U60" s="162">
        <f>IF(S60="nio",0,IF(S60&gt;0,VLOOKUP(G60,'3-Productie normen'!A:K,VLOOKUP(S60,'3-Productie normen'!L:N,3,FALSE),FALSE)))</f>
        <v>0</v>
      </c>
      <c r="V60" s="162">
        <f>VLOOKUP(G60,'3-Productie normen'!A:K,10,FALSE)</f>
        <v>16013.110036668773</v>
      </c>
      <c r="W60" s="163">
        <f>VLOOKUP(G60,'3-Productie normen'!A:K,11,FALSE)</f>
        <v>0</v>
      </c>
      <c r="X60" s="163"/>
      <c r="Z60" s="129">
        <f t="shared" si="1"/>
        <v>4744</v>
      </c>
    </row>
    <row r="61" spans="1:26" ht="14.1" customHeight="1">
      <c r="A61" s="144">
        <v>61</v>
      </c>
      <c r="B61" s="485" t="s">
        <v>257</v>
      </c>
      <c r="C61" s="303" t="s">
        <v>805</v>
      </c>
      <c r="D61" s="304">
        <v>1</v>
      </c>
      <c r="E61" s="694" t="s">
        <v>389</v>
      </c>
      <c r="F61" s="303" t="s">
        <v>829</v>
      </c>
      <c r="G61" s="460" t="s">
        <v>881</v>
      </c>
      <c r="H61" s="303" t="s">
        <v>335</v>
      </c>
      <c r="I61" s="582" t="str">
        <f>VLOOKUP(H61,'9a-Typen vloeren'!$A$10:$B$40,2,FALSE)</f>
        <v>Schrobben</v>
      </c>
      <c r="J61" s="433">
        <v>6.6</v>
      </c>
      <c r="K61" s="433">
        <f t="shared" si="2"/>
        <v>0</v>
      </c>
      <c r="L61" s="433">
        <f t="shared" si="3"/>
        <v>0</v>
      </c>
      <c r="M61" s="433">
        <f t="shared" si="4"/>
        <v>0</v>
      </c>
      <c r="N61" s="672"/>
      <c r="O61" s="729">
        <f>IF(N61="",0,N61*K61/'9b-Vloeronderhoud'!$F$4)</f>
        <v>0</v>
      </c>
      <c r="P61" s="672"/>
      <c r="Q61" s="729" t="e">
        <f>IF(O61="",0,P61*L61/'9b-Vloeronderhoud'!$F$6)</f>
        <v>#DIV/0!</v>
      </c>
      <c r="R61" s="449">
        <v>1</v>
      </c>
      <c r="S61" s="672" t="s">
        <v>179</v>
      </c>
      <c r="T61" s="161">
        <f t="shared" si="0"/>
        <v>0</v>
      </c>
      <c r="U61" s="162">
        <f>IF(S61="nio",0,IF(S61&gt;0,VLOOKUP(G61,'3-Productie normen'!A:K,VLOOKUP(S61,'3-Productie normen'!L:N,3,FALSE),FALSE)))</f>
        <v>0</v>
      </c>
      <c r="V61" s="162">
        <f>VLOOKUP(G61,'3-Productie normen'!A:K,10,FALSE)</f>
        <v>5262.809993648526</v>
      </c>
      <c r="W61" s="163">
        <f>VLOOKUP(G61,'3-Productie normen'!A:K,11,FALSE)</f>
        <v>0</v>
      </c>
      <c r="X61" s="163"/>
      <c r="Z61" s="129">
        <f t="shared" si="1"/>
        <v>0</v>
      </c>
    </row>
    <row r="62" spans="1:26" ht="14.1" customHeight="1">
      <c r="A62" s="144">
        <v>62</v>
      </c>
      <c r="B62" s="485" t="s">
        <v>257</v>
      </c>
      <c r="C62" s="303" t="s">
        <v>805</v>
      </c>
      <c r="D62" s="304">
        <v>1</v>
      </c>
      <c r="E62" s="694" t="s">
        <v>390</v>
      </c>
      <c r="F62" s="303" t="s">
        <v>830</v>
      </c>
      <c r="G62" s="460" t="s">
        <v>221</v>
      </c>
      <c r="H62" s="303" t="s">
        <v>335</v>
      </c>
      <c r="I62" s="582" t="str">
        <f>VLOOKUP(H62,'9a-Typen vloeren'!$A$10:$B$40,2,FALSE)</f>
        <v>Schrobben</v>
      </c>
      <c r="J62" s="433">
        <v>58.1</v>
      </c>
      <c r="K62" s="433">
        <f t="shared" si="2"/>
        <v>0</v>
      </c>
      <c r="L62" s="433">
        <f t="shared" si="3"/>
        <v>58.1</v>
      </c>
      <c r="M62" s="433">
        <f t="shared" si="4"/>
        <v>0</v>
      </c>
      <c r="N62" s="672"/>
      <c r="O62" s="729">
        <f>IF(N62="",0,N62*K62/'9b-Vloeronderhoud'!$F$4)</f>
        <v>0</v>
      </c>
      <c r="P62" s="672"/>
      <c r="Q62" s="729" t="e">
        <f>IF(O62="",0,P62*L62/'9b-Vloeronderhoud'!$F$6)</f>
        <v>#DIV/0!</v>
      </c>
      <c r="R62" s="449">
        <v>1</v>
      </c>
      <c r="S62" s="672">
        <v>80</v>
      </c>
      <c r="T62" s="161" t="e">
        <f t="shared" si="0"/>
        <v>#DIV/0!</v>
      </c>
      <c r="U62" s="162">
        <f>IF(S62="nio",0,IF(S62&gt;0,VLOOKUP(G62,'3-Productie normen'!A:K,VLOOKUP(S62,'3-Productie normen'!L:N,3,FALSE),FALSE)))</f>
        <v>0</v>
      </c>
      <c r="V62" s="162">
        <f>VLOOKUP(G62,'3-Productie normen'!A:K,10,FALSE)</f>
        <v>16013.110036668773</v>
      </c>
      <c r="W62" s="163">
        <f>VLOOKUP(G62,'3-Productie normen'!A:K,11,FALSE)</f>
        <v>0</v>
      </c>
      <c r="X62" s="163"/>
      <c r="Z62" s="129">
        <f t="shared" si="1"/>
        <v>4648</v>
      </c>
    </row>
    <row r="63" spans="1:26" ht="14.1" customHeight="1">
      <c r="A63" s="144">
        <v>63</v>
      </c>
      <c r="B63" s="485" t="s">
        <v>257</v>
      </c>
      <c r="C63" s="303" t="s">
        <v>805</v>
      </c>
      <c r="D63" s="304">
        <v>1</v>
      </c>
      <c r="E63" s="694" t="s">
        <v>392</v>
      </c>
      <c r="F63" s="303" t="s">
        <v>831</v>
      </c>
      <c r="G63" s="533" t="s">
        <v>221</v>
      </c>
      <c r="H63" s="303" t="s">
        <v>335</v>
      </c>
      <c r="I63" s="582" t="str">
        <f>VLOOKUP(H63,'9a-Typen vloeren'!$A$10:$B$40,2,FALSE)</f>
        <v>Schrobben</v>
      </c>
      <c r="J63" s="433">
        <v>59.9</v>
      </c>
      <c r="K63" s="433">
        <f t="shared" si="2"/>
        <v>0</v>
      </c>
      <c r="L63" s="433">
        <f t="shared" si="3"/>
        <v>59.9</v>
      </c>
      <c r="M63" s="433">
        <f t="shared" si="4"/>
        <v>0</v>
      </c>
      <c r="N63" s="672"/>
      <c r="O63" s="729">
        <f>IF(N63="",0,N63*K63/'9b-Vloeronderhoud'!$F$4)</f>
        <v>0</v>
      </c>
      <c r="P63" s="672"/>
      <c r="Q63" s="729" t="e">
        <f>IF(O63="",0,P63*L63/'9b-Vloeronderhoud'!$F$6)</f>
        <v>#DIV/0!</v>
      </c>
      <c r="R63" s="449">
        <v>1</v>
      </c>
      <c r="S63" s="688" t="s">
        <v>179</v>
      </c>
      <c r="T63" s="161">
        <f t="shared" si="0"/>
        <v>0</v>
      </c>
      <c r="U63" s="162">
        <f>IF(S63="nio",0,IF(S63&gt;0,VLOOKUP(G63,'3-Productie normen'!A:K,VLOOKUP(S63,'3-Productie normen'!L:N,3,FALSE),FALSE)))</f>
        <v>0</v>
      </c>
      <c r="V63" s="162">
        <f>VLOOKUP(G63,'3-Productie normen'!A:K,10,FALSE)</f>
        <v>16013.110036668773</v>
      </c>
      <c r="W63" s="163">
        <f>VLOOKUP(G63,'3-Productie normen'!A:K,11,FALSE)</f>
        <v>0</v>
      </c>
      <c r="X63" s="163"/>
      <c r="Z63" s="129">
        <f t="shared" si="1"/>
        <v>0</v>
      </c>
    </row>
    <row r="64" spans="1:26" ht="14.1" customHeight="1">
      <c r="A64" s="144">
        <v>64</v>
      </c>
      <c r="B64" s="485" t="s">
        <v>257</v>
      </c>
      <c r="C64" s="303" t="s">
        <v>805</v>
      </c>
      <c r="D64" s="304">
        <v>1</v>
      </c>
      <c r="E64" s="694" t="s">
        <v>393</v>
      </c>
      <c r="F64" s="303" t="s">
        <v>832</v>
      </c>
      <c r="G64" s="460" t="s">
        <v>881</v>
      </c>
      <c r="H64" s="303" t="s">
        <v>335</v>
      </c>
      <c r="I64" s="582" t="str">
        <f>VLOOKUP(H64,'9a-Typen vloeren'!$A$10:$B$40,2,FALSE)</f>
        <v>Schrobben</v>
      </c>
      <c r="J64" s="433">
        <v>9.3000000000000007</v>
      </c>
      <c r="K64" s="433">
        <f t="shared" si="2"/>
        <v>0</v>
      </c>
      <c r="L64" s="433">
        <f t="shared" si="3"/>
        <v>0</v>
      </c>
      <c r="M64" s="433">
        <f t="shared" si="4"/>
        <v>0</v>
      </c>
      <c r="N64" s="672"/>
      <c r="O64" s="729">
        <f>IF(N64="",0,N64*K64/'9b-Vloeronderhoud'!$F$4)</f>
        <v>0</v>
      </c>
      <c r="P64" s="672"/>
      <c r="Q64" s="729" t="e">
        <f>IF(O64="",0,P64*L64/'9b-Vloeronderhoud'!$F$6)</f>
        <v>#DIV/0!</v>
      </c>
      <c r="R64" s="449">
        <v>1</v>
      </c>
      <c r="S64" s="672" t="s">
        <v>179</v>
      </c>
      <c r="T64" s="161">
        <f t="shared" si="0"/>
        <v>0</v>
      </c>
      <c r="U64" s="162">
        <f>IF(S64="nio",0,IF(S64&gt;0,VLOOKUP(G64,'3-Productie normen'!A:K,VLOOKUP(S64,'3-Productie normen'!L:N,3,FALSE),FALSE)))</f>
        <v>0</v>
      </c>
      <c r="V64" s="162">
        <f>VLOOKUP(G64,'3-Productie normen'!A:K,10,FALSE)</f>
        <v>5262.809993648526</v>
      </c>
      <c r="W64" s="163">
        <f>VLOOKUP(G64,'3-Productie normen'!A:K,11,FALSE)</f>
        <v>0</v>
      </c>
      <c r="X64" s="163"/>
      <c r="Z64" s="129">
        <f t="shared" si="1"/>
        <v>0</v>
      </c>
    </row>
    <row r="65" spans="1:26" ht="14.1" customHeight="1">
      <c r="A65" s="144">
        <v>65</v>
      </c>
      <c r="B65" s="485" t="s">
        <v>257</v>
      </c>
      <c r="C65" s="303" t="s">
        <v>805</v>
      </c>
      <c r="D65" s="304">
        <v>1</v>
      </c>
      <c r="E65" s="694" t="s">
        <v>394</v>
      </c>
      <c r="F65" s="303" t="s">
        <v>451</v>
      </c>
      <c r="G65" s="460" t="s">
        <v>881</v>
      </c>
      <c r="H65" s="303" t="s">
        <v>335</v>
      </c>
      <c r="I65" s="582" t="str">
        <f>VLOOKUP(H65,'9a-Typen vloeren'!$A$10:$B$40,2,FALSE)</f>
        <v>Schrobben</v>
      </c>
      <c r="J65" s="433">
        <v>1.9</v>
      </c>
      <c r="K65" s="433">
        <f t="shared" si="2"/>
        <v>0</v>
      </c>
      <c r="L65" s="433">
        <f t="shared" si="3"/>
        <v>0</v>
      </c>
      <c r="M65" s="433">
        <f t="shared" si="4"/>
        <v>0</v>
      </c>
      <c r="N65" s="672"/>
      <c r="O65" s="729">
        <f>IF(N65="",0,N65*K65/'9b-Vloeronderhoud'!$F$4)</f>
        <v>0</v>
      </c>
      <c r="P65" s="672"/>
      <c r="Q65" s="729" t="e">
        <f>IF(O65="",0,P65*L65/'9b-Vloeronderhoud'!$F$6)</f>
        <v>#DIV/0!</v>
      </c>
      <c r="R65" s="449">
        <v>1</v>
      </c>
      <c r="S65" s="672" t="s">
        <v>179</v>
      </c>
      <c r="T65" s="161">
        <f t="shared" si="0"/>
        <v>0</v>
      </c>
      <c r="U65" s="162">
        <f>IF(S65="nio",0,IF(S65&gt;0,VLOOKUP(G65,'3-Productie normen'!A:K,VLOOKUP(S65,'3-Productie normen'!L:N,3,FALSE),FALSE)))</f>
        <v>0</v>
      </c>
      <c r="V65" s="162">
        <f>VLOOKUP(G65,'3-Productie normen'!A:K,10,FALSE)</f>
        <v>5262.809993648526</v>
      </c>
      <c r="W65" s="163">
        <f>VLOOKUP(G65,'3-Productie normen'!A:K,11,FALSE)</f>
        <v>0</v>
      </c>
      <c r="X65" s="163"/>
      <c r="Z65" s="129">
        <f t="shared" si="1"/>
        <v>0</v>
      </c>
    </row>
    <row r="66" spans="1:26" ht="14.1" customHeight="1">
      <c r="A66" s="144">
        <v>66</v>
      </c>
      <c r="B66" s="485" t="s">
        <v>257</v>
      </c>
      <c r="C66" s="303" t="s">
        <v>805</v>
      </c>
      <c r="D66" s="304">
        <v>1</v>
      </c>
      <c r="E66" s="694" t="s">
        <v>395</v>
      </c>
      <c r="F66" s="303" t="s">
        <v>820</v>
      </c>
      <c r="G66" s="122" t="s">
        <v>221</v>
      </c>
      <c r="H66" s="303" t="s">
        <v>335</v>
      </c>
      <c r="I66" s="582" t="str">
        <f>VLOOKUP(H66,'9a-Typen vloeren'!$A$10:$B$40,2,FALSE)</f>
        <v>Schrobben</v>
      </c>
      <c r="J66" s="433">
        <v>16</v>
      </c>
      <c r="K66" s="433">
        <f t="shared" si="2"/>
        <v>0</v>
      </c>
      <c r="L66" s="433">
        <f t="shared" si="3"/>
        <v>16</v>
      </c>
      <c r="M66" s="433">
        <f t="shared" si="4"/>
        <v>0</v>
      </c>
      <c r="N66" s="672"/>
      <c r="O66" s="729">
        <f>IF(N66="",0,N66*K66/'9b-Vloeronderhoud'!$F$4)</f>
        <v>0</v>
      </c>
      <c r="P66" s="672"/>
      <c r="Q66" s="729" t="e">
        <f>IF(O66="",0,P66*L66/'9b-Vloeronderhoud'!$F$6)</f>
        <v>#DIV/0!</v>
      </c>
      <c r="R66" s="449">
        <v>1</v>
      </c>
      <c r="S66" s="672">
        <v>80</v>
      </c>
      <c r="T66" s="161" t="e">
        <f t="shared" si="0"/>
        <v>#DIV/0!</v>
      </c>
      <c r="U66" s="162">
        <f>IF(S66="nio",0,IF(S66&gt;0,VLOOKUP(G66,'3-Productie normen'!A:K,VLOOKUP(S66,'3-Productie normen'!L:N,3,FALSE),FALSE)))</f>
        <v>0</v>
      </c>
      <c r="V66" s="162">
        <f>VLOOKUP(G66,'3-Productie normen'!A:K,10,FALSE)</f>
        <v>16013.110036668773</v>
      </c>
      <c r="W66" s="163">
        <f>VLOOKUP(G66,'3-Productie normen'!A:K,11,FALSE)</f>
        <v>0</v>
      </c>
      <c r="X66" s="163"/>
      <c r="Z66" s="129">
        <f t="shared" si="1"/>
        <v>1280</v>
      </c>
    </row>
    <row r="67" spans="1:26" ht="14.1" customHeight="1">
      <c r="A67" s="144">
        <v>67</v>
      </c>
      <c r="B67" s="485" t="s">
        <v>278</v>
      </c>
      <c r="C67" s="303" t="s">
        <v>805</v>
      </c>
      <c r="D67" s="304" t="s">
        <v>98</v>
      </c>
      <c r="E67" s="694">
        <v>8</v>
      </c>
      <c r="F67" s="303" t="s">
        <v>279</v>
      </c>
      <c r="G67" s="460" t="s">
        <v>279</v>
      </c>
      <c r="H67" s="303" t="s">
        <v>335</v>
      </c>
      <c r="I67" s="582" t="str">
        <f>VLOOKUP(H67,'9a-Typen vloeren'!$A$10:$B$40,2,FALSE)</f>
        <v>Schrobben</v>
      </c>
      <c r="J67" s="433">
        <v>53.6</v>
      </c>
      <c r="K67" s="433">
        <f t="shared" si="2"/>
        <v>0</v>
      </c>
      <c r="L67" s="433">
        <f t="shared" si="3"/>
        <v>53.6</v>
      </c>
      <c r="M67" s="433">
        <f t="shared" si="4"/>
        <v>0</v>
      </c>
      <c r="N67" s="672"/>
      <c r="O67" s="729">
        <f>IF(N67="",0,N67*K67/'9b-Vloeronderhoud'!$F$4)</f>
        <v>0</v>
      </c>
      <c r="P67" s="672"/>
      <c r="Q67" s="729" t="e">
        <f>IF(O67="",0,P67*L67/'9b-Vloeronderhoud'!$F$6)</f>
        <v>#DIV/0!</v>
      </c>
      <c r="R67" s="449">
        <v>1</v>
      </c>
      <c r="S67" s="672">
        <v>80</v>
      </c>
      <c r="T67" s="161" t="e">
        <f t="shared" si="0"/>
        <v>#DIV/0!</v>
      </c>
      <c r="U67" s="162">
        <f>IF(S67="nio",0,IF(S67&gt;0,VLOOKUP(G67,'3-Productie normen'!A:K,VLOOKUP(S67,'3-Productie normen'!L:N,3,FALSE),FALSE)))</f>
        <v>0</v>
      </c>
      <c r="V67" s="162">
        <f>VLOOKUP(G67,'3-Productie normen'!A:K,10,FALSE)</f>
        <v>648.99999618530273</v>
      </c>
      <c r="W67" s="163">
        <f>VLOOKUP(G67,'3-Productie normen'!A:K,11,FALSE)</f>
        <v>0</v>
      </c>
      <c r="X67" s="163"/>
      <c r="Z67" s="129">
        <f t="shared" si="1"/>
        <v>4288</v>
      </c>
    </row>
    <row r="68" spans="1:26" ht="14.1" customHeight="1">
      <c r="A68" s="144">
        <v>68</v>
      </c>
      <c r="B68" s="485" t="s">
        <v>278</v>
      </c>
      <c r="C68" s="303" t="s">
        <v>805</v>
      </c>
      <c r="D68" s="304" t="s">
        <v>98</v>
      </c>
      <c r="E68" s="694" t="s">
        <v>833</v>
      </c>
      <c r="F68" s="303" t="s">
        <v>834</v>
      </c>
      <c r="G68" s="460" t="s">
        <v>280</v>
      </c>
      <c r="H68" s="303" t="s">
        <v>335</v>
      </c>
      <c r="I68" s="582" t="str">
        <f>VLOOKUP(H68,'9a-Typen vloeren'!$A$10:$B$40,2,FALSE)</f>
        <v>Schrobben</v>
      </c>
      <c r="J68" s="433">
        <v>6</v>
      </c>
      <c r="K68" s="433">
        <f t="shared" si="2"/>
        <v>0</v>
      </c>
      <c r="L68" s="433">
        <f t="shared" si="3"/>
        <v>6</v>
      </c>
      <c r="M68" s="433">
        <f t="shared" si="4"/>
        <v>0</v>
      </c>
      <c r="N68" s="672"/>
      <c r="O68" s="729">
        <f>IF(N68="",0,N68*K68/'9b-Vloeronderhoud'!$F$4)</f>
        <v>0</v>
      </c>
      <c r="P68" s="672"/>
      <c r="Q68" s="729" t="e">
        <f>IF(O68="",0,P68*L68/'9b-Vloeronderhoud'!$F$6)</f>
        <v>#DIV/0!</v>
      </c>
      <c r="R68" s="449">
        <v>1</v>
      </c>
      <c r="S68" s="672">
        <v>80</v>
      </c>
      <c r="T68" s="161" t="e">
        <f t="shared" si="0"/>
        <v>#DIV/0!</v>
      </c>
      <c r="U68" s="162">
        <f>IF(S68="nio",0,IF(S68&gt;0,VLOOKUP(G68,'3-Productie normen'!A:K,VLOOKUP(S68,'3-Productie normen'!L:N,3,FALSE),FALSE)))</f>
        <v>0</v>
      </c>
      <c r="V68" s="162">
        <f>VLOOKUP(G68,'3-Productie normen'!A:K,10,FALSE)</f>
        <v>67.100000381469727</v>
      </c>
      <c r="W68" s="163">
        <f>VLOOKUP(G68,'3-Productie normen'!A:K,11,FALSE)</f>
        <v>0</v>
      </c>
      <c r="X68" s="163"/>
      <c r="Z68" s="129">
        <f t="shared" si="1"/>
        <v>480</v>
      </c>
    </row>
    <row r="69" spans="1:26" ht="14.1" customHeight="1">
      <c r="A69" s="144">
        <v>69</v>
      </c>
      <c r="B69" s="485" t="s">
        <v>278</v>
      </c>
      <c r="C69" s="303" t="s">
        <v>805</v>
      </c>
      <c r="D69" s="304" t="s">
        <v>98</v>
      </c>
      <c r="E69" s="694" t="s">
        <v>835</v>
      </c>
      <c r="F69" s="303" t="s">
        <v>834</v>
      </c>
      <c r="G69" s="303" t="s">
        <v>280</v>
      </c>
      <c r="H69" s="303" t="s">
        <v>335</v>
      </c>
      <c r="I69" s="582" t="str">
        <f>VLOOKUP(H69,'9a-Typen vloeren'!$A$10:$B$40,2,FALSE)</f>
        <v>Schrobben</v>
      </c>
      <c r="J69" s="433">
        <v>6</v>
      </c>
      <c r="K69" s="433">
        <f t="shared" si="2"/>
        <v>0</v>
      </c>
      <c r="L69" s="433">
        <f t="shared" si="3"/>
        <v>6</v>
      </c>
      <c r="M69" s="433">
        <f t="shared" si="4"/>
        <v>0</v>
      </c>
      <c r="N69" s="672"/>
      <c r="O69" s="729">
        <f>IF(N69="",0,N69*K69/'9b-Vloeronderhoud'!$F$4)</f>
        <v>0</v>
      </c>
      <c r="P69" s="672"/>
      <c r="Q69" s="729" t="e">
        <f>IF(O69="",0,P69*L69/'9b-Vloeronderhoud'!$F$6)</f>
        <v>#DIV/0!</v>
      </c>
      <c r="R69" s="449">
        <v>1</v>
      </c>
      <c r="S69" s="672">
        <v>80</v>
      </c>
      <c r="T69" s="161" t="e">
        <f t="shared" si="0"/>
        <v>#DIV/0!</v>
      </c>
      <c r="U69" s="162">
        <f>IF(S69="nio",0,IF(S69&gt;0,VLOOKUP(G69,'3-Productie normen'!A:K,VLOOKUP(S69,'3-Productie normen'!L:N,3,FALSE),FALSE)))</f>
        <v>0</v>
      </c>
      <c r="V69" s="162">
        <f>VLOOKUP(G69,'3-Productie normen'!A:K,10,FALSE)</f>
        <v>67.100000381469727</v>
      </c>
      <c r="W69" s="163">
        <f>VLOOKUP(G69,'3-Productie normen'!A:K,11,FALSE)</f>
        <v>0</v>
      </c>
      <c r="X69" s="163"/>
      <c r="Z69" s="129">
        <f t="shared" si="1"/>
        <v>480</v>
      </c>
    </row>
    <row r="70" spans="1:26" ht="14.1" customHeight="1">
      <c r="A70" s="144">
        <v>70</v>
      </c>
      <c r="B70" s="485" t="s">
        <v>278</v>
      </c>
      <c r="C70" s="303" t="s">
        <v>805</v>
      </c>
      <c r="D70" s="304" t="s">
        <v>98</v>
      </c>
      <c r="E70" s="694">
        <v>10</v>
      </c>
      <c r="F70" s="541" t="s">
        <v>404</v>
      </c>
      <c r="G70" s="122" t="s">
        <v>286</v>
      </c>
      <c r="H70" s="303" t="s">
        <v>335</v>
      </c>
      <c r="I70" s="582" t="str">
        <f>VLOOKUP(H70,'9a-Typen vloeren'!$A$10:$B$40,2,FALSE)</f>
        <v>Schrobben</v>
      </c>
      <c r="J70" s="433">
        <v>2.8</v>
      </c>
      <c r="K70" s="433">
        <f t="shared" si="2"/>
        <v>0</v>
      </c>
      <c r="L70" s="433">
        <f t="shared" si="3"/>
        <v>2.8</v>
      </c>
      <c r="M70" s="433">
        <f t="shared" si="4"/>
        <v>0</v>
      </c>
      <c r="N70" s="672"/>
      <c r="O70" s="729">
        <f>IF(N70="",0,N70*K70/'9b-Vloeronderhoud'!$F$4)</f>
        <v>0</v>
      </c>
      <c r="P70" s="672">
        <v>3</v>
      </c>
      <c r="Q70" s="729" t="e">
        <f>IF(O70="",0,P70*L70/'9b-Vloeronderhoud'!$F$6)</f>
        <v>#DIV/0!</v>
      </c>
      <c r="R70" s="449">
        <v>1</v>
      </c>
      <c r="S70" s="672">
        <v>80</v>
      </c>
      <c r="T70" s="161" t="e">
        <f t="shared" si="0"/>
        <v>#DIV/0!</v>
      </c>
      <c r="U70" s="162">
        <f>IF(S70="nio",0,IF(S70&gt;0,VLOOKUP(G70,'3-Productie normen'!A:K,VLOOKUP(S70,'3-Productie normen'!L:N,3,FALSE),FALSE)))</f>
        <v>0</v>
      </c>
      <c r="V70" s="162">
        <f>VLOOKUP(G70,'3-Productie normen'!A:K,10,FALSE)</f>
        <v>6152.9500017547598</v>
      </c>
      <c r="W70" s="163">
        <f>VLOOKUP(G70,'3-Productie normen'!A:K,11,FALSE)</f>
        <v>0</v>
      </c>
      <c r="X70" s="163"/>
      <c r="Z70" s="129">
        <f t="shared" si="1"/>
        <v>224</v>
      </c>
    </row>
    <row r="71" spans="1:26" ht="14.1" customHeight="1">
      <c r="A71" s="144">
        <v>71</v>
      </c>
      <c r="B71" s="485" t="s">
        <v>278</v>
      </c>
      <c r="C71" s="303" t="s">
        <v>805</v>
      </c>
      <c r="D71" s="304" t="s">
        <v>98</v>
      </c>
      <c r="E71" s="694">
        <v>11</v>
      </c>
      <c r="F71" s="303" t="s">
        <v>770</v>
      </c>
      <c r="G71" s="303" t="s">
        <v>18</v>
      </c>
      <c r="H71" s="303" t="s">
        <v>967</v>
      </c>
      <c r="I71" s="582" t="str">
        <f>VLOOKUP(H71,'9a-Typen vloeren'!$A$10:$B$40,2,FALSE)</f>
        <v>zie kwaliteitsontwerp</v>
      </c>
      <c r="J71" s="433">
        <v>9.6999999999999993</v>
      </c>
      <c r="K71" s="433">
        <f t="shared" si="2"/>
        <v>0</v>
      </c>
      <c r="L71" s="433">
        <f t="shared" si="3"/>
        <v>0</v>
      </c>
      <c r="M71" s="433">
        <f t="shared" si="4"/>
        <v>0</v>
      </c>
      <c r="N71" s="672"/>
      <c r="O71" s="729">
        <f>IF(N71="",0,N71*K71/'9b-Vloeronderhoud'!$F$4)</f>
        <v>0</v>
      </c>
      <c r="P71" s="672"/>
      <c r="Q71" s="729" t="e">
        <f>IF(O71="",0,P71*L71/'9b-Vloeronderhoud'!$F$6)</f>
        <v>#DIV/0!</v>
      </c>
      <c r="R71" s="449">
        <v>1</v>
      </c>
      <c r="S71" s="672">
        <v>80</v>
      </c>
      <c r="T71" s="161" t="e">
        <f t="shared" si="0"/>
        <v>#DIV/0!</v>
      </c>
      <c r="U71" s="162">
        <f>IF(S71="nio",0,IF(S71&gt;0,VLOOKUP(G71,'3-Productie normen'!A:K,VLOOKUP(S71,'3-Productie normen'!L:N,3,FALSE),FALSE)))</f>
        <v>0</v>
      </c>
      <c r="V71" s="162">
        <f>VLOOKUP(G71,'3-Productie normen'!A:K,10,FALSE)</f>
        <v>1859.5880019121171</v>
      </c>
      <c r="W71" s="163">
        <f>VLOOKUP(G71,'3-Productie normen'!A:K,11,FALSE)</f>
        <v>0</v>
      </c>
      <c r="X71" s="163"/>
      <c r="Z71" s="129">
        <f t="shared" si="1"/>
        <v>776</v>
      </c>
    </row>
    <row r="72" spans="1:26" ht="14.1" customHeight="1">
      <c r="A72" s="144">
        <v>72</v>
      </c>
      <c r="B72" s="485" t="s">
        <v>278</v>
      </c>
      <c r="C72" s="303" t="s">
        <v>805</v>
      </c>
      <c r="D72" s="304" t="s">
        <v>98</v>
      </c>
      <c r="E72" s="694">
        <v>12</v>
      </c>
      <c r="F72" s="303" t="s">
        <v>836</v>
      </c>
      <c r="G72" s="460" t="s">
        <v>881</v>
      </c>
      <c r="H72" s="303" t="s">
        <v>335</v>
      </c>
      <c r="I72" s="582" t="str">
        <f>VLOOKUP(H72,'9a-Typen vloeren'!$A$10:$B$40,2,FALSE)</f>
        <v>Schrobben</v>
      </c>
      <c r="J72" s="433">
        <v>4.9000000000000004</v>
      </c>
      <c r="K72" s="433">
        <f t="shared" si="2"/>
        <v>0</v>
      </c>
      <c r="L72" s="433">
        <f t="shared" si="3"/>
        <v>0</v>
      </c>
      <c r="M72" s="433">
        <f t="shared" si="4"/>
        <v>0</v>
      </c>
      <c r="N72" s="672"/>
      <c r="O72" s="729">
        <f>IF(N72="",0,N72*K72/'9b-Vloeronderhoud'!$F$4)</f>
        <v>0</v>
      </c>
      <c r="P72" s="672"/>
      <c r="Q72" s="729" t="e">
        <f>IF(O72="",0,P72*L72/'9b-Vloeronderhoud'!$F$6)</f>
        <v>#DIV/0!</v>
      </c>
      <c r="R72" s="449">
        <v>1</v>
      </c>
      <c r="S72" s="672" t="s">
        <v>179</v>
      </c>
      <c r="T72" s="161">
        <f t="shared" si="0"/>
        <v>0</v>
      </c>
      <c r="U72" s="162">
        <f>IF(S72="nio",0,IF(S72&gt;0,VLOOKUP(G72,'3-Productie normen'!A:K,VLOOKUP(S72,'3-Productie normen'!L:N,3,FALSE),FALSE)))</f>
        <v>0</v>
      </c>
      <c r="V72" s="162">
        <f>VLOOKUP(G72,'3-Productie normen'!A:K,10,FALSE)</f>
        <v>5262.809993648526</v>
      </c>
      <c r="W72" s="163">
        <f>VLOOKUP(G72,'3-Productie normen'!A:K,11,FALSE)</f>
        <v>0</v>
      </c>
      <c r="X72" s="163"/>
      <c r="Z72" s="129">
        <f t="shared" si="1"/>
        <v>0</v>
      </c>
    </row>
    <row r="73" spans="1:26" ht="14.1" customHeight="1">
      <c r="A73" s="144">
        <v>73</v>
      </c>
      <c r="B73" s="485" t="s">
        <v>278</v>
      </c>
      <c r="C73" s="303" t="s">
        <v>805</v>
      </c>
      <c r="D73" s="304" t="s">
        <v>98</v>
      </c>
      <c r="E73" s="694">
        <v>13</v>
      </c>
      <c r="F73" s="303" t="s">
        <v>837</v>
      </c>
      <c r="G73" s="460" t="s">
        <v>190</v>
      </c>
      <c r="H73" s="303" t="s">
        <v>335</v>
      </c>
      <c r="I73" s="582" t="str">
        <f>VLOOKUP(H73,'9a-Typen vloeren'!$A$10:$B$40,2,FALSE)</f>
        <v>Schrobben</v>
      </c>
      <c r="J73" s="433">
        <v>6.1</v>
      </c>
      <c r="K73" s="433">
        <f t="shared" si="2"/>
        <v>0</v>
      </c>
      <c r="L73" s="433">
        <f t="shared" si="3"/>
        <v>6.1</v>
      </c>
      <c r="M73" s="433">
        <f t="shared" si="4"/>
        <v>0</v>
      </c>
      <c r="N73" s="672"/>
      <c r="O73" s="729">
        <f>IF(N73="",0,N73*K73/'9b-Vloeronderhoud'!$F$4)</f>
        <v>0</v>
      </c>
      <c r="P73" s="672">
        <v>3</v>
      </c>
      <c r="Q73" s="729" t="e">
        <f>IF(O73="",0,P73*L73/'9b-Vloeronderhoud'!$F$6)</f>
        <v>#DIV/0!</v>
      </c>
      <c r="R73" s="449">
        <v>1</v>
      </c>
      <c r="S73" s="672">
        <v>40</v>
      </c>
      <c r="T73" s="161" t="e">
        <f t="shared" si="0"/>
        <v>#DIV/0!</v>
      </c>
      <c r="U73" s="162">
        <f>IF(S73="nio",0,IF(S73&gt;0,VLOOKUP(G73,'3-Productie normen'!A:K,VLOOKUP(S73,'3-Productie normen'!L:N,3,FALSE),FALSE)))</f>
        <v>0</v>
      </c>
      <c r="V73" s="162">
        <f>VLOOKUP(G73,'3-Productie normen'!A:K,10,FALSE)</f>
        <v>281.65000052452086</v>
      </c>
      <c r="W73" s="163">
        <f>VLOOKUP(G73,'3-Productie normen'!A:K,11,FALSE)</f>
        <v>0</v>
      </c>
      <c r="X73" s="163"/>
      <c r="Z73" s="129">
        <f t="shared" si="1"/>
        <v>244</v>
      </c>
    </row>
    <row r="74" spans="1:26" ht="14.1" customHeight="1">
      <c r="A74" s="144">
        <v>74</v>
      </c>
      <c r="B74" s="485" t="s">
        <v>278</v>
      </c>
      <c r="C74" s="303" t="s">
        <v>805</v>
      </c>
      <c r="D74" s="304" t="s">
        <v>98</v>
      </c>
      <c r="E74" s="694">
        <v>14</v>
      </c>
      <c r="F74" s="303" t="s">
        <v>838</v>
      </c>
      <c r="G74" s="546" t="s">
        <v>279</v>
      </c>
      <c r="H74" s="303" t="s">
        <v>335</v>
      </c>
      <c r="I74" s="582" t="str">
        <f>VLOOKUP(H74,'9a-Typen vloeren'!$A$10:$B$40,2,FALSE)</f>
        <v>Schrobben</v>
      </c>
      <c r="J74" s="433">
        <v>66</v>
      </c>
      <c r="K74" s="433">
        <f t="shared" si="2"/>
        <v>0</v>
      </c>
      <c r="L74" s="433">
        <f t="shared" si="3"/>
        <v>66</v>
      </c>
      <c r="M74" s="433">
        <f t="shared" si="4"/>
        <v>0</v>
      </c>
      <c r="N74" s="672"/>
      <c r="O74" s="729">
        <f>IF(N74="",0,N74*K74/'9b-Vloeronderhoud'!$F$4)</f>
        <v>0</v>
      </c>
      <c r="P74" s="672"/>
      <c r="Q74" s="729" t="e">
        <f>IF(O74="",0,P74*L74/'9b-Vloeronderhoud'!$F$6)</f>
        <v>#DIV/0!</v>
      </c>
      <c r="R74" s="449">
        <v>1</v>
      </c>
      <c r="S74" s="672">
        <v>80</v>
      </c>
      <c r="T74" s="161" t="e">
        <f t="shared" ref="T74:T137" si="5">IF(S74="nio",0,IF(S74&gt;0,S74*J74/U74,0))*R74</f>
        <v>#DIV/0!</v>
      </c>
      <c r="U74" s="162">
        <f>IF(S74="nio",0,IF(S74&gt;0,VLOOKUP(G74,'3-Productie normen'!A:K,VLOOKUP(S74,'3-Productie normen'!L:N,3,FALSE),FALSE)))</f>
        <v>0</v>
      </c>
      <c r="V74" s="162">
        <f>VLOOKUP(G74,'3-Productie normen'!A:K,10,FALSE)</f>
        <v>648.99999618530273</v>
      </c>
      <c r="W74" s="163">
        <f>VLOOKUP(G74,'3-Productie normen'!A:K,11,FALSE)</f>
        <v>0</v>
      </c>
      <c r="X74" s="163"/>
      <c r="Z74" s="129">
        <f t="shared" ref="Z74:Z137" si="6">SUM(S74:S74)*J74</f>
        <v>5280</v>
      </c>
    </row>
    <row r="75" spans="1:26" ht="14.1" customHeight="1">
      <c r="A75" s="144">
        <v>75</v>
      </c>
      <c r="B75" s="485" t="s">
        <v>278</v>
      </c>
      <c r="C75" s="303" t="s">
        <v>805</v>
      </c>
      <c r="D75" s="304" t="s">
        <v>98</v>
      </c>
      <c r="E75" s="694">
        <v>15</v>
      </c>
      <c r="F75" s="303" t="s">
        <v>839</v>
      </c>
      <c r="G75" s="122" t="s">
        <v>286</v>
      </c>
      <c r="H75" s="303" t="s">
        <v>335</v>
      </c>
      <c r="I75" s="582" t="str">
        <f>VLOOKUP(H75,'9a-Typen vloeren'!$A$10:$B$40,2,FALSE)</f>
        <v>Schrobben</v>
      </c>
      <c r="J75" s="433">
        <v>1.2</v>
      </c>
      <c r="K75" s="433">
        <f t="shared" ref="K75:K132" si="7">IF(G75="niet in onderhoud",0,IF(I75="sprayen/ conserveren",J75,0))</f>
        <v>0</v>
      </c>
      <c r="L75" s="433">
        <f t="shared" ref="L75:L132" si="8">IF(G75="niet in onderhoud",0,IF(I75="schrobben",J75,0))</f>
        <v>1.2</v>
      </c>
      <c r="M75" s="433">
        <f t="shared" ref="M75:M132" si="9">IF(G75="niet in onderhoud",0,IF(I75="Sproei/extraheren",J75,0))</f>
        <v>0</v>
      </c>
      <c r="N75" s="672"/>
      <c r="O75" s="729">
        <f>IF(N75="",0,N75*K75/'9b-Vloeronderhoud'!$F$4)</f>
        <v>0</v>
      </c>
      <c r="P75" s="672">
        <v>3</v>
      </c>
      <c r="Q75" s="729" t="e">
        <f>IF(O75="",0,P75*L75/'9b-Vloeronderhoud'!$F$6)</f>
        <v>#DIV/0!</v>
      </c>
      <c r="R75" s="449">
        <v>1</v>
      </c>
      <c r="S75" s="672">
        <v>80</v>
      </c>
      <c r="T75" s="161" t="e">
        <f t="shared" si="5"/>
        <v>#DIV/0!</v>
      </c>
      <c r="U75" s="162">
        <f>IF(S75="nio",0,IF(S75&gt;0,VLOOKUP(G75,'3-Productie normen'!A:K,VLOOKUP(S75,'3-Productie normen'!L:N,3,FALSE),FALSE)))</f>
        <v>0</v>
      </c>
      <c r="V75" s="162">
        <f>VLOOKUP(G75,'3-Productie normen'!A:K,10,FALSE)</f>
        <v>6152.9500017547598</v>
      </c>
      <c r="W75" s="163">
        <f>VLOOKUP(G75,'3-Productie normen'!A:K,11,FALSE)</f>
        <v>0</v>
      </c>
      <c r="X75" s="163"/>
      <c r="Z75" s="129">
        <f t="shared" si="6"/>
        <v>96</v>
      </c>
    </row>
    <row r="76" spans="1:26" ht="14.1" customHeight="1">
      <c r="A76" s="144">
        <v>76</v>
      </c>
      <c r="B76" s="485" t="s">
        <v>278</v>
      </c>
      <c r="C76" s="303" t="s">
        <v>805</v>
      </c>
      <c r="D76" s="304" t="s">
        <v>98</v>
      </c>
      <c r="E76" s="694">
        <v>16</v>
      </c>
      <c r="F76" s="303" t="s">
        <v>499</v>
      </c>
      <c r="G76" s="460" t="s">
        <v>881</v>
      </c>
      <c r="H76" s="303" t="s">
        <v>335</v>
      </c>
      <c r="I76" s="582" t="str">
        <f>VLOOKUP(H76,'9a-Typen vloeren'!$A$10:$B$40,2,FALSE)</f>
        <v>Schrobben</v>
      </c>
      <c r="J76" s="433">
        <v>6.6</v>
      </c>
      <c r="K76" s="433">
        <f t="shared" si="7"/>
        <v>0</v>
      </c>
      <c r="L76" s="433">
        <f t="shared" si="8"/>
        <v>0</v>
      </c>
      <c r="M76" s="433">
        <f t="shared" si="9"/>
        <v>0</v>
      </c>
      <c r="N76" s="672"/>
      <c r="O76" s="729">
        <f>IF(N76="",0,N76*K76/'9b-Vloeronderhoud'!$F$4)</f>
        <v>0</v>
      </c>
      <c r="P76" s="672"/>
      <c r="Q76" s="729" t="e">
        <f>IF(O76="",0,P76*L76/'9b-Vloeronderhoud'!$F$6)</f>
        <v>#DIV/0!</v>
      </c>
      <c r="R76" s="449">
        <v>1</v>
      </c>
      <c r="S76" s="672" t="s">
        <v>179</v>
      </c>
      <c r="T76" s="161">
        <f t="shared" si="5"/>
        <v>0</v>
      </c>
      <c r="U76" s="162">
        <f>IF(S76="nio",0,IF(S76&gt;0,VLOOKUP(G76,'3-Productie normen'!A:K,VLOOKUP(S76,'3-Productie normen'!L:N,3,FALSE),FALSE)))</f>
        <v>0</v>
      </c>
      <c r="V76" s="162">
        <f>VLOOKUP(G76,'3-Productie normen'!A:K,10,FALSE)</f>
        <v>5262.809993648526</v>
      </c>
      <c r="W76" s="163">
        <f>VLOOKUP(G76,'3-Productie normen'!A:K,11,FALSE)</f>
        <v>0</v>
      </c>
      <c r="X76" s="163"/>
      <c r="Z76" s="129">
        <f t="shared" si="6"/>
        <v>0</v>
      </c>
    </row>
    <row r="77" spans="1:26" ht="14.1" customHeight="1">
      <c r="A77" s="144">
        <v>77</v>
      </c>
      <c r="B77" s="485" t="s">
        <v>278</v>
      </c>
      <c r="C77" s="303" t="s">
        <v>805</v>
      </c>
      <c r="D77" s="304" t="s">
        <v>98</v>
      </c>
      <c r="E77" s="694">
        <v>17</v>
      </c>
      <c r="F77" s="303" t="s">
        <v>840</v>
      </c>
      <c r="G77" s="460" t="s">
        <v>279</v>
      </c>
      <c r="H77" s="303" t="s">
        <v>335</v>
      </c>
      <c r="I77" s="582" t="str">
        <f>VLOOKUP(H77,'9a-Typen vloeren'!$A$10:$B$40,2,FALSE)</f>
        <v>Schrobben</v>
      </c>
      <c r="J77" s="433">
        <v>70.400000000000006</v>
      </c>
      <c r="K77" s="433">
        <f t="shared" si="7"/>
        <v>0</v>
      </c>
      <c r="L77" s="433">
        <f t="shared" si="8"/>
        <v>70.400000000000006</v>
      </c>
      <c r="M77" s="433">
        <f t="shared" si="9"/>
        <v>0</v>
      </c>
      <c r="N77" s="672"/>
      <c r="O77" s="729">
        <f>IF(N77="",0,N77*K77/'9b-Vloeronderhoud'!$F$4)</f>
        <v>0</v>
      </c>
      <c r="P77" s="672"/>
      <c r="Q77" s="729" t="e">
        <f>IF(O77="",0,P77*L77/'9b-Vloeronderhoud'!$F$6)</f>
        <v>#DIV/0!</v>
      </c>
      <c r="R77" s="449">
        <v>1</v>
      </c>
      <c r="S77" s="672">
        <v>80</v>
      </c>
      <c r="T77" s="161" t="e">
        <f t="shared" si="5"/>
        <v>#DIV/0!</v>
      </c>
      <c r="U77" s="162">
        <f>IF(S77="nio",0,IF(S77&gt;0,VLOOKUP(G77,'3-Productie normen'!A:K,VLOOKUP(S77,'3-Productie normen'!L:N,3,FALSE),FALSE)))</f>
        <v>0</v>
      </c>
      <c r="V77" s="162">
        <f>VLOOKUP(G77,'3-Productie normen'!A:K,10,FALSE)</f>
        <v>648.99999618530273</v>
      </c>
      <c r="W77" s="163">
        <f>VLOOKUP(G77,'3-Productie normen'!A:K,11,FALSE)</f>
        <v>0</v>
      </c>
      <c r="X77" s="163"/>
      <c r="Z77" s="129">
        <f t="shared" si="6"/>
        <v>5632</v>
      </c>
    </row>
    <row r="78" spans="1:26" ht="14.1" customHeight="1">
      <c r="A78" s="144">
        <v>78</v>
      </c>
      <c r="B78" s="485" t="s">
        <v>278</v>
      </c>
      <c r="C78" s="303" t="s">
        <v>805</v>
      </c>
      <c r="D78" s="304" t="s">
        <v>98</v>
      </c>
      <c r="E78" s="694">
        <v>18</v>
      </c>
      <c r="F78" s="303" t="s">
        <v>267</v>
      </c>
      <c r="G78" s="460" t="s">
        <v>18</v>
      </c>
      <c r="H78" s="303" t="s">
        <v>955</v>
      </c>
      <c r="I78" s="582" t="str">
        <f>VLOOKUP(H78,'9a-Typen vloeren'!$A$10:$B$40,2,FALSE)</f>
        <v>zie kwaliteitsontwerp</v>
      </c>
      <c r="J78" s="433">
        <v>2</v>
      </c>
      <c r="K78" s="433">
        <f t="shared" si="7"/>
        <v>0</v>
      </c>
      <c r="L78" s="433">
        <f t="shared" si="8"/>
        <v>0</v>
      </c>
      <c r="M78" s="433">
        <f t="shared" si="9"/>
        <v>0</v>
      </c>
      <c r="N78" s="672"/>
      <c r="O78" s="729">
        <f>IF(N78="",0,N78*K78/'9b-Vloeronderhoud'!$F$4)</f>
        <v>0</v>
      </c>
      <c r="P78" s="672"/>
      <c r="Q78" s="729" t="e">
        <f>IF(O78="",0,P78*L78/'9b-Vloeronderhoud'!$F$6)</f>
        <v>#DIV/0!</v>
      </c>
      <c r="R78" s="449">
        <v>1</v>
      </c>
      <c r="S78" s="672">
        <v>80</v>
      </c>
      <c r="T78" s="161" t="e">
        <f t="shared" si="5"/>
        <v>#DIV/0!</v>
      </c>
      <c r="U78" s="162">
        <f>IF(S78="nio",0,IF(S78&gt;0,VLOOKUP(G78,'3-Productie normen'!A:K,VLOOKUP(S78,'3-Productie normen'!L:N,3,FALSE),FALSE)))</f>
        <v>0</v>
      </c>
      <c r="V78" s="162">
        <f>VLOOKUP(G78,'3-Productie normen'!A:K,10,FALSE)</f>
        <v>1859.5880019121171</v>
      </c>
      <c r="W78" s="163">
        <f>VLOOKUP(G78,'3-Productie normen'!A:K,11,FALSE)</f>
        <v>0</v>
      </c>
      <c r="X78" s="163"/>
      <c r="Z78" s="129">
        <f t="shared" si="6"/>
        <v>160</v>
      </c>
    </row>
    <row r="79" spans="1:26" ht="14.1" customHeight="1">
      <c r="A79" s="144">
        <v>79</v>
      </c>
      <c r="B79" s="485" t="s">
        <v>278</v>
      </c>
      <c r="C79" s="303" t="s">
        <v>805</v>
      </c>
      <c r="D79" s="304" t="s">
        <v>98</v>
      </c>
      <c r="E79" s="694">
        <v>19</v>
      </c>
      <c r="F79" s="303" t="s">
        <v>267</v>
      </c>
      <c r="G79" s="460" t="s">
        <v>18</v>
      </c>
      <c r="H79" s="303" t="s">
        <v>955</v>
      </c>
      <c r="I79" s="582" t="str">
        <f>VLOOKUP(H79,'9a-Typen vloeren'!$A$10:$B$40,2,FALSE)</f>
        <v>zie kwaliteitsontwerp</v>
      </c>
      <c r="J79" s="433">
        <v>2</v>
      </c>
      <c r="K79" s="433">
        <f t="shared" si="7"/>
        <v>0</v>
      </c>
      <c r="L79" s="433">
        <f t="shared" si="8"/>
        <v>0</v>
      </c>
      <c r="M79" s="433">
        <f t="shared" si="9"/>
        <v>0</v>
      </c>
      <c r="N79" s="672"/>
      <c r="O79" s="729">
        <f>IF(N79="",0,N79*K79/'9b-Vloeronderhoud'!$F$4)</f>
        <v>0</v>
      </c>
      <c r="P79" s="672"/>
      <c r="Q79" s="729" t="e">
        <f>IF(O79="",0,P79*L79/'9b-Vloeronderhoud'!$F$6)</f>
        <v>#DIV/0!</v>
      </c>
      <c r="R79" s="449">
        <v>1</v>
      </c>
      <c r="S79" s="672">
        <v>80</v>
      </c>
      <c r="T79" s="161" t="e">
        <f t="shared" si="5"/>
        <v>#DIV/0!</v>
      </c>
      <c r="U79" s="162">
        <f>IF(S79="nio",0,IF(S79&gt;0,VLOOKUP(G79,'3-Productie normen'!A:K,VLOOKUP(S79,'3-Productie normen'!L:N,3,FALSE),FALSE)))</f>
        <v>0</v>
      </c>
      <c r="V79" s="162">
        <f>VLOOKUP(G79,'3-Productie normen'!A:K,10,FALSE)</f>
        <v>1859.5880019121171</v>
      </c>
      <c r="W79" s="163">
        <f>VLOOKUP(G79,'3-Productie normen'!A:K,11,FALSE)</f>
        <v>0</v>
      </c>
      <c r="X79" s="163"/>
      <c r="Z79" s="129">
        <f t="shared" si="6"/>
        <v>160</v>
      </c>
    </row>
    <row r="80" spans="1:26" ht="14.1" customHeight="1">
      <c r="A80" s="144">
        <v>80</v>
      </c>
      <c r="B80" s="485" t="s">
        <v>278</v>
      </c>
      <c r="C80" s="303" t="s">
        <v>805</v>
      </c>
      <c r="D80" s="304" t="s">
        <v>98</v>
      </c>
      <c r="E80" s="694">
        <v>20</v>
      </c>
      <c r="F80" s="303" t="s">
        <v>492</v>
      </c>
      <c r="G80" s="460" t="s">
        <v>881</v>
      </c>
      <c r="H80" s="303" t="s">
        <v>335</v>
      </c>
      <c r="I80" s="582" t="str">
        <f>VLOOKUP(H80,'9a-Typen vloeren'!$A$10:$B$40,2,FALSE)</f>
        <v>Schrobben</v>
      </c>
      <c r="J80" s="433">
        <v>4.7</v>
      </c>
      <c r="K80" s="433">
        <f t="shared" si="7"/>
        <v>0</v>
      </c>
      <c r="L80" s="433">
        <f t="shared" si="8"/>
        <v>0</v>
      </c>
      <c r="M80" s="433">
        <f t="shared" si="9"/>
        <v>0</v>
      </c>
      <c r="N80" s="672"/>
      <c r="O80" s="729">
        <f>IF(N80="",0,N80*K80/'9b-Vloeronderhoud'!$F$4)</f>
        <v>0</v>
      </c>
      <c r="P80" s="672"/>
      <c r="Q80" s="729" t="e">
        <f>IF(O80="",0,P80*L80/'9b-Vloeronderhoud'!$F$6)</f>
        <v>#DIV/0!</v>
      </c>
      <c r="R80" s="449">
        <v>1</v>
      </c>
      <c r="S80" s="672" t="s">
        <v>179</v>
      </c>
      <c r="T80" s="161">
        <f t="shared" si="5"/>
        <v>0</v>
      </c>
      <c r="U80" s="162">
        <f>IF(S80="nio",0,IF(S80&gt;0,VLOOKUP(G80,'3-Productie normen'!A:K,VLOOKUP(S80,'3-Productie normen'!L:N,3,FALSE),FALSE)))</f>
        <v>0</v>
      </c>
      <c r="V80" s="162">
        <f>VLOOKUP(G80,'3-Productie normen'!A:K,10,FALSE)</f>
        <v>5262.809993648526</v>
      </c>
      <c r="W80" s="163">
        <f>VLOOKUP(G80,'3-Productie normen'!A:K,11,FALSE)</f>
        <v>0</v>
      </c>
      <c r="X80" s="163"/>
      <c r="Z80" s="129">
        <f t="shared" si="6"/>
        <v>0</v>
      </c>
    </row>
    <row r="81" spans="1:26" ht="14.1" customHeight="1">
      <c r="A81" s="144">
        <v>81</v>
      </c>
      <c r="B81" s="485" t="s">
        <v>278</v>
      </c>
      <c r="C81" s="303" t="s">
        <v>805</v>
      </c>
      <c r="D81" s="304" t="s">
        <v>98</v>
      </c>
      <c r="E81" s="694">
        <v>21</v>
      </c>
      <c r="F81" s="303" t="s">
        <v>489</v>
      </c>
      <c r="G81" s="171" t="s">
        <v>99</v>
      </c>
      <c r="H81" s="303" t="s">
        <v>563</v>
      </c>
      <c r="I81" s="582" t="str">
        <f>VLOOKUP(H81,'9a-Typen vloeren'!$A$10:$B$40,2,FALSE)</f>
        <v>n.v.t.</v>
      </c>
      <c r="J81" s="433">
        <v>3</v>
      </c>
      <c r="K81" s="433">
        <f t="shared" si="7"/>
        <v>0</v>
      </c>
      <c r="L81" s="433">
        <f t="shared" si="8"/>
        <v>0</v>
      </c>
      <c r="M81" s="433">
        <f t="shared" si="9"/>
        <v>0</v>
      </c>
      <c r="N81" s="672"/>
      <c r="O81" s="729">
        <f>IF(N81="",0,N81*K81/'9b-Vloeronderhoud'!$F$4)</f>
        <v>0</v>
      </c>
      <c r="P81" s="672"/>
      <c r="Q81" s="729" t="e">
        <f>IF(O81="",0,P81*L81/'9b-Vloeronderhoud'!$F$6)</f>
        <v>#DIV/0!</v>
      </c>
      <c r="R81" s="449">
        <v>1</v>
      </c>
      <c r="S81" s="672">
        <v>80</v>
      </c>
      <c r="T81" s="161" t="e">
        <f t="shared" si="5"/>
        <v>#DIV/0!</v>
      </c>
      <c r="U81" s="162">
        <f>IF(S81="nio",0,IF(S81&gt;0,VLOOKUP(G81,'3-Productie normen'!A:K,VLOOKUP(S81,'3-Productie normen'!L:N,3,FALSE),FALSE)))</f>
        <v>0</v>
      </c>
      <c r="V81" s="162">
        <f>VLOOKUP(G81,'3-Productie normen'!A:K,10,FALSE)</f>
        <v>726.97999910354622</v>
      </c>
      <c r="W81" s="163">
        <f>VLOOKUP(G81,'3-Productie normen'!A:K,11,FALSE)</f>
        <v>0</v>
      </c>
      <c r="X81" s="163"/>
      <c r="Z81" s="129">
        <f t="shared" si="6"/>
        <v>240</v>
      </c>
    </row>
    <row r="82" spans="1:26" ht="14.1" customHeight="1">
      <c r="A82" s="144">
        <v>82</v>
      </c>
      <c r="B82" s="485" t="s">
        <v>278</v>
      </c>
      <c r="C82" s="303" t="s">
        <v>805</v>
      </c>
      <c r="D82" s="304" t="s">
        <v>98</v>
      </c>
      <c r="E82" s="701">
        <v>22</v>
      </c>
      <c r="F82" s="516" t="s">
        <v>841</v>
      </c>
      <c r="G82" s="460" t="s">
        <v>881</v>
      </c>
      <c r="H82" s="490" t="s">
        <v>335</v>
      </c>
      <c r="I82" s="582" t="str">
        <f>VLOOKUP(H82,'9a-Typen vloeren'!$A$10:$B$40,2,FALSE)</f>
        <v>Schrobben</v>
      </c>
      <c r="J82" s="583">
        <v>0.5</v>
      </c>
      <c r="K82" s="433">
        <f t="shared" si="7"/>
        <v>0</v>
      </c>
      <c r="L82" s="433">
        <f t="shared" si="8"/>
        <v>0</v>
      </c>
      <c r="M82" s="433">
        <f t="shared" si="9"/>
        <v>0</v>
      </c>
      <c r="N82" s="672"/>
      <c r="O82" s="729">
        <f>IF(N82="",0,N82*K82/'9b-Vloeronderhoud'!$F$4)</f>
        <v>0</v>
      </c>
      <c r="P82" s="672"/>
      <c r="Q82" s="729" t="e">
        <f>IF(O82="",0,P82*L82/'9b-Vloeronderhoud'!$F$6)</f>
        <v>#DIV/0!</v>
      </c>
      <c r="R82" s="449">
        <v>1</v>
      </c>
      <c r="S82" s="672" t="s">
        <v>179</v>
      </c>
      <c r="T82" s="161">
        <f t="shared" si="5"/>
        <v>0</v>
      </c>
      <c r="U82" s="162">
        <f>IF(S82="nio",0,IF(S82&gt;0,VLOOKUP(G82,'3-Productie normen'!A:K,VLOOKUP(S82,'3-Productie normen'!L:N,3,FALSE),FALSE)))</f>
        <v>0</v>
      </c>
      <c r="V82" s="162">
        <f>VLOOKUP(G82,'3-Productie normen'!A:K,10,FALSE)</f>
        <v>5262.809993648526</v>
      </c>
      <c r="W82" s="163">
        <f>VLOOKUP(G82,'3-Productie normen'!A:K,11,FALSE)</f>
        <v>0</v>
      </c>
      <c r="X82" s="163"/>
      <c r="Z82" s="129">
        <f t="shared" si="6"/>
        <v>0</v>
      </c>
    </row>
    <row r="83" spans="1:26" ht="14.1" customHeight="1">
      <c r="A83" s="144">
        <v>83</v>
      </c>
      <c r="B83" s="485" t="s">
        <v>278</v>
      </c>
      <c r="C83" s="303" t="s">
        <v>805</v>
      </c>
      <c r="D83" s="304" t="s">
        <v>98</v>
      </c>
      <c r="E83" s="694">
        <v>23</v>
      </c>
      <c r="F83" s="303" t="s">
        <v>404</v>
      </c>
      <c r="G83" s="303" t="s">
        <v>286</v>
      </c>
      <c r="H83" s="490" t="s">
        <v>335</v>
      </c>
      <c r="I83" s="582" t="str">
        <f>VLOOKUP(H83,'9a-Typen vloeren'!$A$10:$B$40,2,FALSE)</f>
        <v>Schrobben</v>
      </c>
      <c r="J83" s="583">
        <v>35.5</v>
      </c>
      <c r="K83" s="433">
        <f t="shared" si="7"/>
        <v>0</v>
      </c>
      <c r="L83" s="433">
        <f t="shared" si="8"/>
        <v>35.5</v>
      </c>
      <c r="M83" s="433">
        <f t="shared" si="9"/>
        <v>0</v>
      </c>
      <c r="N83" s="672"/>
      <c r="O83" s="729">
        <f>IF(N83="",0,N83*K83/'9b-Vloeronderhoud'!$F$4)</f>
        <v>0</v>
      </c>
      <c r="P83" s="672">
        <v>3</v>
      </c>
      <c r="Q83" s="729" t="e">
        <f>IF(O83="",0,P83*L83/'9b-Vloeronderhoud'!$F$6)</f>
        <v>#DIV/0!</v>
      </c>
      <c r="R83" s="449">
        <v>1</v>
      </c>
      <c r="S83" s="672">
        <v>80</v>
      </c>
      <c r="T83" s="161" t="e">
        <f t="shared" si="5"/>
        <v>#DIV/0!</v>
      </c>
      <c r="U83" s="162">
        <f>IF(S83="nio",0,IF(S83&gt;0,VLOOKUP(G83,'3-Productie normen'!A:K,VLOOKUP(S83,'3-Productie normen'!L:N,3,FALSE),FALSE)))</f>
        <v>0</v>
      </c>
      <c r="V83" s="162">
        <f>VLOOKUP(G83,'3-Productie normen'!A:K,10,FALSE)</f>
        <v>6152.9500017547598</v>
      </c>
      <c r="W83" s="163">
        <f>VLOOKUP(G83,'3-Productie normen'!A:K,11,FALSE)</f>
        <v>0</v>
      </c>
      <c r="X83" s="163"/>
      <c r="Z83" s="129">
        <f t="shared" si="6"/>
        <v>2840</v>
      </c>
    </row>
    <row r="84" spans="1:26" ht="14.1" customHeight="1">
      <c r="A84" s="144">
        <v>84</v>
      </c>
      <c r="B84" s="485" t="s">
        <v>278</v>
      </c>
      <c r="C84" s="303" t="s">
        <v>805</v>
      </c>
      <c r="D84" s="304" t="s">
        <v>98</v>
      </c>
      <c r="E84" s="694">
        <v>24</v>
      </c>
      <c r="F84" s="303" t="s">
        <v>842</v>
      </c>
      <c r="G84" s="303" t="s">
        <v>18</v>
      </c>
      <c r="H84" s="303" t="s">
        <v>967</v>
      </c>
      <c r="I84" s="582" t="str">
        <f>VLOOKUP(H84,'9a-Typen vloeren'!$A$10:$B$40,2,FALSE)</f>
        <v>zie kwaliteitsontwerp</v>
      </c>
      <c r="J84" s="583">
        <v>5.7</v>
      </c>
      <c r="K84" s="433">
        <f t="shared" si="7"/>
        <v>0</v>
      </c>
      <c r="L84" s="433">
        <f t="shared" si="8"/>
        <v>0</v>
      </c>
      <c r="M84" s="433">
        <f t="shared" si="9"/>
        <v>0</v>
      </c>
      <c r="N84" s="672"/>
      <c r="O84" s="729">
        <f>IF(N84="",0,N84*K84/'9b-Vloeronderhoud'!$F$4)</f>
        <v>0</v>
      </c>
      <c r="P84" s="672"/>
      <c r="Q84" s="729" t="e">
        <f>IF(O84="",0,P84*L84/'9b-Vloeronderhoud'!$F$6)</f>
        <v>#DIV/0!</v>
      </c>
      <c r="R84" s="449">
        <v>1</v>
      </c>
      <c r="S84" s="672">
        <v>80</v>
      </c>
      <c r="T84" s="161" t="e">
        <f t="shared" si="5"/>
        <v>#DIV/0!</v>
      </c>
      <c r="U84" s="162">
        <f>IF(S84="nio",0,IF(S84&gt;0,VLOOKUP(G84,'3-Productie normen'!A:K,VLOOKUP(S84,'3-Productie normen'!L:N,3,FALSE),FALSE)))</f>
        <v>0</v>
      </c>
      <c r="V84" s="162">
        <f>VLOOKUP(G84,'3-Productie normen'!A:K,10,FALSE)</f>
        <v>1859.5880019121171</v>
      </c>
      <c r="W84" s="163">
        <f>VLOOKUP(G84,'3-Productie normen'!A:K,11,FALSE)</f>
        <v>0</v>
      </c>
      <c r="X84" s="163"/>
      <c r="Z84" s="129">
        <f t="shared" si="6"/>
        <v>456</v>
      </c>
    </row>
    <row r="85" spans="1:26" ht="14.1" customHeight="1">
      <c r="A85" s="144">
        <v>85</v>
      </c>
      <c r="B85" s="485" t="s">
        <v>278</v>
      </c>
      <c r="C85" s="303" t="s">
        <v>805</v>
      </c>
      <c r="D85" s="304" t="s">
        <v>98</v>
      </c>
      <c r="E85" s="694">
        <v>25</v>
      </c>
      <c r="F85" s="303" t="s">
        <v>267</v>
      </c>
      <c r="G85" s="122" t="s">
        <v>18</v>
      </c>
      <c r="H85" s="303" t="s">
        <v>955</v>
      </c>
      <c r="I85" s="582" t="str">
        <f>VLOOKUP(H85,'9a-Typen vloeren'!$A$10:$B$40,2,FALSE)</f>
        <v>zie kwaliteitsontwerp</v>
      </c>
      <c r="J85" s="583">
        <v>1.5</v>
      </c>
      <c r="K85" s="433">
        <f t="shared" si="7"/>
        <v>0</v>
      </c>
      <c r="L85" s="433">
        <f t="shared" si="8"/>
        <v>0</v>
      </c>
      <c r="M85" s="433">
        <f t="shared" si="9"/>
        <v>0</v>
      </c>
      <c r="N85" s="672"/>
      <c r="O85" s="729">
        <f>IF(N85="",0,N85*K85/'9b-Vloeronderhoud'!$F$4)</f>
        <v>0</v>
      </c>
      <c r="P85" s="672"/>
      <c r="Q85" s="729" t="e">
        <f>IF(O85="",0,P85*L85/'9b-Vloeronderhoud'!$F$6)</f>
        <v>#DIV/0!</v>
      </c>
      <c r="R85" s="449">
        <v>1</v>
      </c>
      <c r="S85" s="672">
        <v>80</v>
      </c>
      <c r="T85" s="161" t="e">
        <f t="shared" si="5"/>
        <v>#DIV/0!</v>
      </c>
      <c r="U85" s="162">
        <f>IF(S85="nio",0,IF(S85&gt;0,VLOOKUP(G85,'3-Productie normen'!A:K,VLOOKUP(S85,'3-Productie normen'!L:N,3,FALSE),FALSE)))</f>
        <v>0</v>
      </c>
      <c r="V85" s="162">
        <f>VLOOKUP(G85,'3-Productie normen'!A:K,10,FALSE)</f>
        <v>1859.5880019121171</v>
      </c>
      <c r="W85" s="163">
        <f>VLOOKUP(G85,'3-Productie normen'!A:K,11,FALSE)</f>
        <v>0</v>
      </c>
      <c r="X85" s="163"/>
      <c r="Z85" s="129">
        <f t="shared" si="6"/>
        <v>120</v>
      </c>
    </row>
    <row r="86" spans="1:26" ht="14.1" customHeight="1">
      <c r="A86" s="144">
        <v>92</v>
      </c>
      <c r="B86" s="485" t="s">
        <v>229</v>
      </c>
      <c r="C86" s="159" t="s">
        <v>427</v>
      </c>
      <c r="D86" s="132" t="s">
        <v>98</v>
      </c>
      <c r="E86" s="702" t="s">
        <v>294</v>
      </c>
      <c r="F86" s="126" t="s">
        <v>99</v>
      </c>
      <c r="G86" s="546" t="s">
        <v>99</v>
      </c>
      <c r="H86" s="303" t="s">
        <v>332</v>
      </c>
      <c r="I86" s="582" t="str">
        <f>VLOOKUP(H86,'9a-Typen vloeren'!$A$10:$B$40,2,FALSE)</f>
        <v>Sproei/extraheren</v>
      </c>
      <c r="J86" s="583">
        <v>8</v>
      </c>
      <c r="K86" s="433">
        <f t="shared" si="7"/>
        <v>0</v>
      </c>
      <c r="L86" s="433">
        <f t="shared" si="8"/>
        <v>0</v>
      </c>
      <c r="M86" s="433">
        <f t="shared" si="9"/>
        <v>8</v>
      </c>
      <c r="N86" s="672"/>
      <c r="O86" s="729">
        <f>IF(N86="",0,N86*K86/'9b-Vloeronderhoud'!$F$4)</f>
        <v>0</v>
      </c>
      <c r="P86" s="672"/>
      <c r="Q86" s="729" t="e">
        <f>IF(O86="",0,P86*L86/'9b-Vloeronderhoud'!$F$6)</f>
        <v>#DIV/0!</v>
      </c>
      <c r="R86" s="449">
        <v>1</v>
      </c>
      <c r="S86" s="672">
        <v>190</v>
      </c>
      <c r="T86" s="161" t="e">
        <f t="shared" si="5"/>
        <v>#DIV/0!</v>
      </c>
      <c r="U86" s="162">
        <f>IF(S86="nio",0,IF(S86&gt;0,VLOOKUP(G86,'3-Productie normen'!A:K,VLOOKUP(S86,'3-Productie normen'!L:N,3,FALSE),FALSE)))</f>
        <v>0</v>
      </c>
      <c r="V86" s="162">
        <f>VLOOKUP(G86,'3-Productie normen'!A:K,10,FALSE)</f>
        <v>726.97999910354622</v>
      </c>
      <c r="W86" s="163">
        <f>VLOOKUP(G86,'3-Productie normen'!A:K,11,FALSE)</f>
        <v>0</v>
      </c>
      <c r="X86" s="163"/>
      <c r="Z86" s="129">
        <f t="shared" si="6"/>
        <v>1520</v>
      </c>
    </row>
    <row r="87" spans="1:26" ht="14.1" customHeight="1">
      <c r="A87" s="144">
        <v>93</v>
      </c>
      <c r="B87" s="485" t="s">
        <v>229</v>
      </c>
      <c r="C87" s="159" t="s">
        <v>427</v>
      </c>
      <c r="D87" s="132" t="s">
        <v>98</v>
      </c>
      <c r="E87" s="702" t="s">
        <v>295</v>
      </c>
      <c r="F87" s="126" t="s">
        <v>338</v>
      </c>
      <c r="G87" s="533" t="s">
        <v>286</v>
      </c>
      <c r="H87" s="490" t="s">
        <v>335</v>
      </c>
      <c r="I87" s="582" t="str">
        <f>VLOOKUP(H87,'9a-Typen vloeren'!$A$10:$B$40,2,FALSE)</f>
        <v>Schrobben</v>
      </c>
      <c r="J87" s="583">
        <v>135</v>
      </c>
      <c r="K87" s="433">
        <f t="shared" si="7"/>
        <v>0</v>
      </c>
      <c r="L87" s="433">
        <f t="shared" si="8"/>
        <v>135</v>
      </c>
      <c r="M87" s="433">
        <f t="shared" si="9"/>
        <v>0</v>
      </c>
      <c r="N87" s="672"/>
      <c r="O87" s="729">
        <f>IF(N87="",0,N87*K87/'9b-Vloeronderhoud'!$F$4)</f>
        <v>0</v>
      </c>
      <c r="P87" s="672">
        <v>3</v>
      </c>
      <c r="Q87" s="729" t="e">
        <f>IF(O87="",0,P87*L87/'9b-Vloeronderhoud'!$F$6)</f>
        <v>#DIV/0!</v>
      </c>
      <c r="R87" s="449">
        <v>1</v>
      </c>
      <c r="S87" s="672">
        <v>120</v>
      </c>
      <c r="T87" s="161" t="e">
        <f t="shared" si="5"/>
        <v>#DIV/0!</v>
      </c>
      <c r="U87" s="162">
        <f>IF(S87="nio",0,IF(S87&gt;0,VLOOKUP(G87,'3-Productie normen'!A:K,VLOOKUP(S87,'3-Productie normen'!L:N,3,FALSE),FALSE)))</f>
        <v>0</v>
      </c>
      <c r="V87" s="162">
        <f>VLOOKUP(G87,'3-Productie normen'!A:K,10,FALSE)</f>
        <v>6152.9500017547598</v>
      </c>
      <c r="W87" s="163">
        <f>VLOOKUP(G87,'3-Productie normen'!A:K,11,FALSE)</f>
        <v>0</v>
      </c>
      <c r="X87" s="163"/>
      <c r="Z87" s="129">
        <f t="shared" si="6"/>
        <v>16200</v>
      </c>
    </row>
    <row r="88" spans="1:26" ht="14.1" customHeight="1">
      <c r="A88" s="144">
        <v>94</v>
      </c>
      <c r="B88" s="485" t="s">
        <v>229</v>
      </c>
      <c r="C88" s="159" t="s">
        <v>427</v>
      </c>
      <c r="D88" s="132" t="s">
        <v>98</v>
      </c>
      <c r="E88" s="702" t="s">
        <v>339</v>
      </c>
      <c r="F88" s="126" t="s">
        <v>287</v>
      </c>
      <c r="G88" s="122" t="s">
        <v>287</v>
      </c>
      <c r="H88" s="490" t="s">
        <v>102</v>
      </c>
      <c r="I88" s="582" t="str">
        <f>VLOOKUP(H88,'9a-Typen vloeren'!$A$10:$B$40,2,FALSE)</f>
        <v>n.v.t.</v>
      </c>
      <c r="J88" s="583">
        <v>9.2399997711181641</v>
      </c>
      <c r="K88" s="433">
        <f t="shared" si="7"/>
        <v>0</v>
      </c>
      <c r="L88" s="433">
        <f t="shared" si="8"/>
        <v>0</v>
      </c>
      <c r="M88" s="433">
        <f t="shared" si="9"/>
        <v>0</v>
      </c>
      <c r="N88" s="672"/>
      <c r="O88" s="729">
        <f>IF(N88="",0,N88*K88/'9b-Vloeronderhoud'!$F$4)</f>
        <v>0</v>
      </c>
      <c r="P88" s="672"/>
      <c r="Q88" s="729" t="e">
        <f>IF(O88="",0,P88*L88/'9b-Vloeronderhoud'!$F$6)</f>
        <v>#DIV/0!</v>
      </c>
      <c r="R88" s="449">
        <v>1</v>
      </c>
      <c r="S88" s="672">
        <v>80</v>
      </c>
      <c r="T88" s="161" t="e">
        <f t="shared" si="5"/>
        <v>#DIV/0!</v>
      </c>
      <c r="U88" s="162">
        <f>IF(S88="nio",0,IF(S88&gt;0,VLOOKUP(G88,'3-Productie normen'!A:K,VLOOKUP(S88,'3-Productie normen'!L:N,3,FALSE),FALSE)))</f>
        <v>0</v>
      </c>
      <c r="V88" s="162">
        <f>VLOOKUP(G88,'3-Productie normen'!A:K,10,FALSE)</f>
        <v>519.460002565384</v>
      </c>
      <c r="W88" s="163">
        <f>VLOOKUP(G88,'3-Productie normen'!A:K,11,FALSE)</f>
        <v>0</v>
      </c>
      <c r="X88" s="163"/>
      <c r="Z88" s="129">
        <f t="shared" si="6"/>
        <v>739.19998168945313</v>
      </c>
    </row>
    <row r="89" spans="1:26" ht="14.1" customHeight="1">
      <c r="A89" s="144">
        <v>95</v>
      </c>
      <c r="B89" s="485" t="s">
        <v>229</v>
      </c>
      <c r="C89" s="159" t="s">
        <v>427</v>
      </c>
      <c r="D89" s="132" t="s">
        <v>98</v>
      </c>
      <c r="E89" s="702" t="s">
        <v>340</v>
      </c>
      <c r="F89" s="126" t="s">
        <v>341</v>
      </c>
      <c r="G89" s="4" t="s">
        <v>190</v>
      </c>
      <c r="H89" s="490" t="s">
        <v>335</v>
      </c>
      <c r="I89" s="582" t="str">
        <f>VLOOKUP(H89,'9a-Typen vloeren'!$A$10:$B$40,2,FALSE)</f>
        <v>Schrobben</v>
      </c>
      <c r="J89" s="583">
        <v>10</v>
      </c>
      <c r="K89" s="433">
        <f t="shared" si="7"/>
        <v>0</v>
      </c>
      <c r="L89" s="433">
        <f t="shared" si="8"/>
        <v>10</v>
      </c>
      <c r="M89" s="433">
        <f t="shared" si="9"/>
        <v>0</v>
      </c>
      <c r="N89" s="672"/>
      <c r="O89" s="729">
        <f>IF(N89="",0,N89*K89/'9b-Vloeronderhoud'!$F$4)</f>
        <v>0</v>
      </c>
      <c r="P89" s="672">
        <v>3</v>
      </c>
      <c r="Q89" s="729" t="e">
        <f>IF(O89="",0,P89*L89/'9b-Vloeronderhoud'!$F$6)</f>
        <v>#DIV/0!</v>
      </c>
      <c r="R89" s="449">
        <v>1</v>
      </c>
      <c r="S89" s="672">
        <v>40</v>
      </c>
      <c r="T89" s="161" t="e">
        <f t="shared" si="5"/>
        <v>#DIV/0!</v>
      </c>
      <c r="U89" s="162">
        <f>IF(S89="nio",0,IF(S89&gt;0,VLOOKUP(G89,'3-Productie normen'!A:K,VLOOKUP(S89,'3-Productie normen'!L:N,3,FALSE),FALSE)))</f>
        <v>0</v>
      </c>
      <c r="V89" s="162">
        <f>VLOOKUP(G89,'3-Productie normen'!A:K,10,FALSE)</f>
        <v>281.65000052452086</v>
      </c>
      <c r="W89" s="163">
        <f>VLOOKUP(G89,'3-Productie normen'!A:K,11,FALSE)</f>
        <v>0</v>
      </c>
      <c r="X89" s="163"/>
      <c r="Z89" s="129">
        <f t="shared" si="6"/>
        <v>400</v>
      </c>
    </row>
    <row r="90" spans="1:26" ht="14.1" customHeight="1">
      <c r="A90" s="144">
        <v>96</v>
      </c>
      <c r="B90" s="485" t="s">
        <v>229</v>
      </c>
      <c r="C90" s="159" t="s">
        <v>427</v>
      </c>
      <c r="D90" s="132" t="s">
        <v>98</v>
      </c>
      <c r="E90" s="702" t="s">
        <v>342</v>
      </c>
      <c r="F90" s="126" t="s">
        <v>490</v>
      </c>
      <c r="G90" s="4" t="s">
        <v>286</v>
      </c>
      <c r="H90" s="490" t="s">
        <v>335</v>
      </c>
      <c r="I90" s="582" t="str">
        <f>VLOOKUP(H90,'9a-Typen vloeren'!$A$10:$B$40,2,FALSE)</f>
        <v>Schrobben</v>
      </c>
      <c r="J90" s="583">
        <v>6</v>
      </c>
      <c r="K90" s="433">
        <f t="shared" si="7"/>
        <v>0</v>
      </c>
      <c r="L90" s="433">
        <f t="shared" si="8"/>
        <v>6</v>
      </c>
      <c r="M90" s="433">
        <f t="shared" si="9"/>
        <v>0</v>
      </c>
      <c r="N90" s="672"/>
      <c r="O90" s="729">
        <f>IF(N90="",0,N90*K90/'9b-Vloeronderhoud'!$F$4)</f>
        <v>0</v>
      </c>
      <c r="P90" s="672">
        <v>3</v>
      </c>
      <c r="Q90" s="729" t="e">
        <f>IF(O90="",0,P90*L90/'9b-Vloeronderhoud'!$F$6)</f>
        <v>#DIV/0!</v>
      </c>
      <c r="R90" s="449">
        <v>1</v>
      </c>
      <c r="S90" s="672">
        <v>80</v>
      </c>
      <c r="T90" s="161" t="e">
        <f t="shared" si="5"/>
        <v>#DIV/0!</v>
      </c>
      <c r="U90" s="162">
        <f>IF(S90="nio",0,IF(S90&gt;0,VLOOKUP(G90,'3-Productie normen'!A:K,VLOOKUP(S90,'3-Productie normen'!L:N,3,FALSE),FALSE)))</f>
        <v>0</v>
      </c>
      <c r="V90" s="162">
        <f>VLOOKUP(G90,'3-Productie normen'!A:K,10,FALSE)</f>
        <v>6152.9500017547598</v>
      </c>
      <c r="W90" s="163">
        <f>VLOOKUP(G90,'3-Productie normen'!A:K,11,FALSE)</f>
        <v>0</v>
      </c>
      <c r="X90" s="163"/>
      <c r="Z90" s="129">
        <f t="shared" si="6"/>
        <v>480</v>
      </c>
    </row>
    <row r="91" spans="1:26" ht="14.1" customHeight="1">
      <c r="A91" s="144">
        <v>97</v>
      </c>
      <c r="B91" s="485" t="s">
        <v>229</v>
      </c>
      <c r="C91" s="159" t="s">
        <v>427</v>
      </c>
      <c r="D91" s="132" t="s">
        <v>98</v>
      </c>
      <c r="E91" s="702" t="s">
        <v>298</v>
      </c>
      <c r="F91" s="126" t="s">
        <v>283</v>
      </c>
      <c r="G91" s="460" t="s">
        <v>286</v>
      </c>
      <c r="H91" s="490" t="s">
        <v>335</v>
      </c>
      <c r="I91" s="582" t="str">
        <f>VLOOKUP(H91,'9a-Typen vloeren'!$A$10:$B$40,2,FALSE)</f>
        <v>Schrobben</v>
      </c>
      <c r="J91" s="583">
        <v>46.400001525878906</v>
      </c>
      <c r="K91" s="433">
        <f t="shared" si="7"/>
        <v>0</v>
      </c>
      <c r="L91" s="433">
        <f t="shared" si="8"/>
        <v>46.400001525878906</v>
      </c>
      <c r="M91" s="433">
        <f t="shared" si="9"/>
        <v>0</v>
      </c>
      <c r="N91" s="672"/>
      <c r="O91" s="729">
        <f>IF(N91="",0,N91*K91/'9b-Vloeronderhoud'!$F$4)</f>
        <v>0</v>
      </c>
      <c r="P91" s="672">
        <v>3</v>
      </c>
      <c r="Q91" s="729" t="e">
        <f>IF(O91="",0,P91*L91/'9b-Vloeronderhoud'!$F$6)</f>
        <v>#DIV/0!</v>
      </c>
      <c r="R91" s="449">
        <v>1</v>
      </c>
      <c r="S91" s="672">
        <v>120</v>
      </c>
      <c r="T91" s="161" t="e">
        <f t="shared" si="5"/>
        <v>#DIV/0!</v>
      </c>
      <c r="U91" s="162">
        <f>IF(S91="nio",0,IF(S91&gt;0,VLOOKUP(G91,'3-Productie normen'!A:K,VLOOKUP(S91,'3-Productie normen'!L:N,3,FALSE),FALSE)))</f>
        <v>0</v>
      </c>
      <c r="V91" s="162">
        <f>VLOOKUP(G91,'3-Productie normen'!A:K,10,FALSE)</f>
        <v>6152.9500017547598</v>
      </c>
      <c r="W91" s="163">
        <f>VLOOKUP(G91,'3-Productie normen'!A:K,11,FALSE)</f>
        <v>0</v>
      </c>
      <c r="X91" s="163"/>
      <c r="Z91" s="129">
        <f t="shared" si="6"/>
        <v>5568.0001831054688</v>
      </c>
    </row>
    <row r="92" spans="1:26" ht="14.1" customHeight="1">
      <c r="A92" s="144">
        <v>98</v>
      </c>
      <c r="B92" s="485" t="s">
        <v>229</v>
      </c>
      <c r="C92" s="159" t="s">
        <v>427</v>
      </c>
      <c r="D92" s="132" t="s">
        <v>98</v>
      </c>
      <c r="E92" s="702" t="s">
        <v>301</v>
      </c>
      <c r="F92" s="126" t="s">
        <v>287</v>
      </c>
      <c r="G92" s="303" t="s">
        <v>287</v>
      </c>
      <c r="H92" s="490" t="s">
        <v>378</v>
      </c>
      <c r="I92" s="582" t="str">
        <f>VLOOKUP(H92,'9a-Typen vloeren'!$A$10:$B$40,2,FALSE)</f>
        <v>n.v.t.</v>
      </c>
      <c r="J92" s="583">
        <v>21.299999237060547</v>
      </c>
      <c r="K92" s="433">
        <f t="shared" si="7"/>
        <v>0</v>
      </c>
      <c r="L92" s="433">
        <f t="shared" si="8"/>
        <v>0</v>
      </c>
      <c r="M92" s="433">
        <f t="shared" si="9"/>
        <v>0</v>
      </c>
      <c r="N92" s="672"/>
      <c r="O92" s="729">
        <f>IF(N92="",0,N92*K92/'9b-Vloeronderhoud'!$F$4)</f>
        <v>0</v>
      </c>
      <c r="P92" s="672"/>
      <c r="Q92" s="729" t="e">
        <f>IF(O92="",0,P92*L92/'9b-Vloeronderhoud'!$F$6)</f>
        <v>#DIV/0!</v>
      </c>
      <c r="R92" s="449">
        <v>1</v>
      </c>
      <c r="S92" s="672">
        <v>80</v>
      </c>
      <c r="T92" s="161" t="e">
        <f t="shared" si="5"/>
        <v>#DIV/0!</v>
      </c>
      <c r="U92" s="162">
        <f>IF(S92="nio",0,IF(S92&gt;0,VLOOKUP(G92,'3-Productie normen'!A:K,VLOOKUP(S92,'3-Productie normen'!L:N,3,FALSE),FALSE)))</f>
        <v>0</v>
      </c>
      <c r="V92" s="162">
        <f>VLOOKUP(G92,'3-Productie normen'!A:K,10,FALSE)</f>
        <v>519.460002565384</v>
      </c>
      <c r="W92" s="163">
        <f>VLOOKUP(G92,'3-Productie normen'!A:K,11,FALSE)</f>
        <v>0</v>
      </c>
      <c r="X92" s="163"/>
      <c r="Z92" s="129">
        <f t="shared" si="6"/>
        <v>1703.9999389648438</v>
      </c>
    </row>
    <row r="93" spans="1:26" ht="14.1" customHeight="1">
      <c r="A93" s="144">
        <v>99</v>
      </c>
      <c r="B93" s="485" t="s">
        <v>229</v>
      </c>
      <c r="C93" s="159" t="s">
        <v>427</v>
      </c>
      <c r="D93" s="132" t="s">
        <v>98</v>
      </c>
      <c r="E93" s="702" t="s">
        <v>303</v>
      </c>
      <c r="F93" s="126" t="s">
        <v>283</v>
      </c>
      <c r="G93" s="4" t="s">
        <v>286</v>
      </c>
      <c r="H93" s="490" t="s">
        <v>335</v>
      </c>
      <c r="I93" s="582" t="str">
        <f>VLOOKUP(H93,'9a-Typen vloeren'!$A$10:$B$40,2,FALSE)</f>
        <v>Schrobben</v>
      </c>
      <c r="J93" s="583">
        <v>37.069999694824219</v>
      </c>
      <c r="K93" s="433">
        <f t="shared" si="7"/>
        <v>0</v>
      </c>
      <c r="L93" s="433">
        <f t="shared" si="8"/>
        <v>37.069999694824219</v>
      </c>
      <c r="M93" s="433">
        <f t="shared" si="9"/>
        <v>0</v>
      </c>
      <c r="N93" s="672"/>
      <c r="O93" s="729">
        <f>IF(N93="",0,N93*K93/'9b-Vloeronderhoud'!$F$4)</f>
        <v>0</v>
      </c>
      <c r="P93" s="672">
        <v>3</v>
      </c>
      <c r="Q93" s="729" t="e">
        <f>IF(O93="",0,P93*L93/'9b-Vloeronderhoud'!$F$6)</f>
        <v>#DIV/0!</v>
      </c>
      <c r="R93" s="449">
        <v>1</v>
      </c>
      <c r="S93" s="672">
        <v>120</v>
      </c>
      <c r="T93" s="161" t="e">
        <f t="shared" si="5"/>
        <v>#DIV/0!</v>
      </c>
      <c r="U93" s="162">
        <f>IF(S93="nio",0,IF(S93&gt;0,VLOOKUP(G93,'3-Productie normen'!A:K,VLOOKUP(S93,'3-Productie normen'!L:N,3,FALSE),FALSE)))</f>
        <v>0</v>
      </c>
      <c r="V93" s="162">
        <f>VLOOKUP(G93,'3-Productie normen'!A:K,10,FALSE)</f>
        <v>6152.9500017547598</v>
      </c>
      <c r="W93" s="163">
        <f>VLOOKUP(G93,'3-Productie normen'!A:K,11,FALSE)</f>
        <v>0</v>
      </c>
      <c r="X93" s="163"/>
      <c r="Z93" s="129">
        <f t="shared" si="6"/>
        <v>4448.3999633789063</v>
      </c>
    </row>
    <row r="94" spans="1:26" ht="14.1" customHeight="1">
      <c r="A94" s="144">
        <v>100</v>
      </c>
      <c r="B94" s="485" t="s">
        <v>229</v>
      </c>
      <c r="C94" s="159" t="s">
        <v>427</v>
      </c>
      <c r="D94" s="132" t="s">
        <v>98</v>
      </c>
      <c r="E94" s="702" t="s">
        <v>305</v>
      </c>
      <c r="F94" s="126" t="s">
        <v>284</v>
      </c>
      <c r="G94" s="122" t="s">
        <v>99</v>
      </c>
      <c r="H94" s="303" t="s">
        <v>332</v>
      </c>
      <c r="I94" s="582" t="str">
        <f>VLOOKUP(H94,'9a-Typen vloeren'!$A$10:$B$40,2,FALSE)</f>
        <v>Sproei/extraheren</v>
      </c>
      <c r="J94" s="583">
        <v>11</v>
      </c>
      <c r="K94" s="433">
        <f t="shared" si="7"/>
        <v>0</v>
      </c>
      <c r="L94" s="433">
        <f t="shared" si="8"/>
        <v>0</v>
      </c>
      <c r="M94" s="433">
        <f t="shared" si="9"/>
        <v>11</v>
      </c>
      <c r="N94" s="672"/>
      <c r="O94" s="729">
        <f>IF(N94="",0,N94*K94/'9b-Vloeronderhoud'!$F$4)</f>
        <v>0</v>
      </c>
      <c r="P94" s="672"/>
      <c r="Q94" s="729" t="e">
        <f>IF(O94="",0,P94*L94/'9b-Vloeronderhoud'!$F$6)</f>
        <v>#DIV/0!</v>
      </c>
      <c r="R94" s="449">
        <v>1</v>
      </c>
      <c r="S94" s="672">
        <v>190</v>
      </c>
      <c r="T94" s="161" t="e">
        <f t="shared" si="5"/>
        <v>#DIV/0!</v>
      </c>
      <c r="U94" s="162">
        <f>IF(S94="nio",0,IF(S94&gt;0,VLOOKUP(G94,'3-Productie normen'!A:K,VLOOKUP(S94,'3-Productie normen'!L:N,3,FALSE),FALSE)))</f>
        <v>0</v>
      </c>
      <c r="V94" s="162">
        <f>VLOOKUP(G94,'3-Productie normen'!A:K,10,FALSE)</f>
        <v>726.97999910354622</v>
      </c>
      <c r="W94" s="163">
        <f>VLOOKUP(G94,'3-Productie normen'!A:K,11,FALSE)</f>
        <v>0</v>
      </c>
      <c r="X94" s="163"/>
      <c r="Z94" s="129">
        <f t="shared" si="6"/>
        <v>2090</v>
      </c>
    </row>
    <row r="95" spans="1:26" ht="14.1" customHeight="1">
      <c r="A95" s="144">
        <v>101</v>
      </c>
      <c r="B95" s="485" t="s">
        <v>229</v>
      </c>
      <c r="C95" s="159" t="s">
        <v>427</v>
      </c>
      <c r="D95" s="132" t="s">
        <v>98</v>
      </c>
      <c r="E95" s="702" t="s">
        <v>306</v>
      </c>
      <c r="F95" s="126" t="s">
        <v>287</v>
      </c>
      <c r="G95" s="546" t="s">
        <v>287</v>
      </c>
      <c r="H95" s="490" t="s">
        <v>102</v>
      </c>
      <c r="I95" s="582" t="str">
        <f>VLOOKUP(H95,'9a-Typen vloeren'!$A$10:$B$40,2,FALSE)</f>
        <v>n.v.t.</v>
      </c>
      <c r="J95" s="583">
        <v>3.309999942779541</v>
      </c>
      <c r="K95" s="433">
        <f t="shared" si="7"/>
        <v>0</v>
      </c>
      <c r="L95" s="433">
        <f t="shared" si="8"/>
        <v>0</v>
      </c>
      <c r="M95" s="433">
        <f t="shared" si="9"/>
        <v>0</v>
      </c>
      <c r="N95" s="672"/>
      <c r="O95" s="729">
        <f>IF(N95="",0,N95*K95/'9b-Vloeronderhoud'!$F$4)</f>
        <v>0</v>
      </c>
      <c r="P95" s="672"/>
      <c r="Q95" s="729" t="e">
        <f>IF(O95="",0,P95*L95/'9b-Vloeronderhoud'!$F$6)</f>
        <v>#DIV/0!</v>
      </c>
      <c r="R95" s="449">
        <v>1</v>
      </c>
      <c r="S95" s="672">
        <v>80</v>
      </c>
      <c r="T95" s="161" t="e">
        <f t="shared" si="5"/>
        <v>#DIV/0!</v>
      </c>
      <c r="U95" s="162">
        <f>IF(S95="nio",0,IF(S95&gt;0,VLOOKUP(G95,'3-Productie normen'!A:K,VLOOKUP(S95,'3-Productie normen'!L:N,3,FALSE),FALSE)))</f>
        <v>0</v>
      </c>
      <c r="V95" s="162">
        <f>VLOOKUP(G95,'3-Productie normen'!A:K,10,FALSE)</f>
        <v>519.460002565384</v>
      </c>
      <c r="W95" s="163">
        <f>VLOOKUP(G95,'3-Productie normen'!A:K,11,FALSE)</f>
        <v>0</v>
      </c>
      <c r="X95" s="163"/>
      <c r="Z95" s="129">
        <f t="shared" si="6"/>
        <v>264.79999542236328</v>
      </c>
    </row>
    <row r="96" spans="1:26" ht="14.1" customHeight="1">
      <c r="A96" s="144">
        <v>102</v>
      </c>
      <c r="B96" s="485" t="s">
        <v>229</v>
      </c>
      <c r="C96" s="159" t="s">
        <v>427</v>
      </c>
      <c r="D96" s="132" t="s">
        <v>98</v>
      </c>
      <c r="E96" s="702" t="s">
        <v>307</v>
      </c>
      <c r="F96" s="126" t="s">
        <v>344</v>
      </c>
      <c r="G96" s="303" t="s">
        <v>285</v>
      </c>
      <c r="H96" s="303" t="s">
        <v>332</v>
      </c>
      <c r="I96" s="582" t="str">
        <f>VLOOKUP(H96,'9a-Typen vloeren'!$A$10:$B$40,2,FALSE)</f>
        <v>Sproei/extraheren</v>
      </c>
      <c r="J96" s="583">
        <v>25</v>
      </c>
      <c r="K96" s="433">
        <f t="shared" si="7"/>
        <v>0</v>
      </c>
      <c r="L96" s="433">
        <f t="shared" si="8"/>
        <v>0</v>
      </c>
      <c r="M96" s="433">
        <f t="shared" si="9"/>
        <v>25</v>
      </c>
      <c r="N96" s="672"/>
      <c r="O96" s="729">
        <f>IF(N96="",0,N96*K96/'9b-Vloeronderhoud'!$F$4)</f>
        <v>0</v>
      </c>
      <c r="P96" s="672"/>
      <c r="Q96" s="729" t="e">
        <f>IF(O96="",0,P96*L96/'9b-Vloeronderhoud'!$F$6)</f>
        <v>#DIV/0!</v>
      </c>
      <c r="R96" s="449">
        <v>1</v>
      </c>
      <c r="S96" s="672">
        <v>190</v>
      </c>
      <c r="T96" s="161" t="e">
        <f t="shared" si="5"/>
        <v>#DIV/0!</v>
      </c>
      <c r="U96" s="162">
        <f>IF(S96="nio",0,IF(S96&gt;0,VLOOKUP(G96,'3-Productie normen'!A:K,VLOOKUP(S96,'3-Productie normen'!L:N,3,FALSE),FALSE)))</f>
        <v>0</v>
      </c>
      <c r="V96" s="162">
        <f>VLOOKUP(G96,'3-Productie normen'!A:K,10,FALSE)</f>
        <v>3305.8200070953367</v>
      </c>
      <c r="W96" s="163">
        <f>VLOOKUP(G96,'3-Productie normen'!A:K,11,FALSE)</f>
        <v>0</v>
      </c>
      <c r="X96" s="163"/>
      <c r="Z96" s="129">
        <f t="shared" si="6"/>
        <v>4750</v>
      </c>
    </row>
    <row r="97" spans="1:26" ht="14.1" customHeight="1">
      <c r="A97" s="144">
        <v>103</v>
      </c>
      <c r="B97" s="485" t="s">
        <v>229</v>
      </c>
      <c r="C97" s="159" t="s">
        <v>427</v>
      </c>
      <c r="D97" s="132" t="s">
        <v>98</v>
      </c>
      <c r="E97" s="702" t="s">
        <v>309</v>
      </c>
      <c r="F97" s="126" t="s">
        <v>285</v>
      </c>
      <c r="G97" s="126" t="s">
        <v>285</v>
      </c>
      <c r="H97" s="490" t="s">
        <v>100</v>
      </c>
      <c r="I97" s="582" t="str">
        <f>VLOOKUP(H97,'9a-Typen vloeren'!$A$10:$B$40,2,FALSE)</f>
        <v>Sprayen/ conserveren</v>
      </c>
      <c r="J97" s="583">
        <v>65</v>
      </c>
      <c r="K97" s="433">
        <f t="shared" si="7"/>
        <v>65</v>
      </c>
      <c r="L97" s="433">
        <f t="shared" si="8"/>
        <v>0</v>
      </c>
      <c r="M97" s="433">
        <f t="shared" si="9"/>
        <v>0</v>
      </c>
      <c r="N97" s="672"/>
      <c r="O97" s="729">
        <f>IF(N97="",0,N97*K97/'9b-Vloeronderhoud'!$F$4)</f>
        <v>0</v>
      </c>
      <c r="P97" s="672"/>
      <c r="Q97" s="729" t="e">
        <f>IF(O97="",0,P97*L97/'9b-Vloeronderhoud'!$F$6)</f>
        <v>#DIV/0!</v>
      </c>
      <c r="R97" s="449">
        <v>1</v>
      </c>
      <c r="S97" s="672">
        <v>190</v>
      </c>
      <c r="T97" s="161" t="e">
        <f t="shared" si="5"/>
        <v>#DIV/0!</v>
      </c>
      <c r="U97" s="162">
        <f>IF(S97="nio",0,IF(S97&gt;0,VLOOKUP(G97,'3-Productie normen'!A:K,VLOOKUP(S97,'3-Productie normen'!L:N,3,FALSE),FALSE)))</f>
        <v>0</v>
      </c>
      <c r="V97" s="162">
        <f>VLOOKUP(G97,'3-Productie normen'!A:K,10,FALSE)</f>
        <v>3305.8200070953367</v>
      </c>
      <c r="W97" s="163">
        <f>VLOOKUP(G97,'3-Productie normen'!A:K,11,FALSE)</f>
        <v>0</v>
      </c>
      <c r="X97" s="163"/>
      <c r="Z97" s="129">
        <f t="shared" si="6"/>
        <v>12350</v>
      </c>
    </row>
    <row r="98" spans="1:26" ht="14.1" customHeight="1">
      <c r="A98" s="144">
        <v>104</v>
      </c>
      <c r="B98" s="485" t="s">
        <v>229</v>
      </c>
      <c r="C98" s="159" t="s">
        <v>427</v>
      </c>
      <c r="D98" s="132" t="s">
        <v>98</v>
      </c>
      <c r="E98" s="702" t="s">
        <v>311</v>
      </c>
      <c r="F98" s="126" t="s">
        <v>302</v>
      </c>
      <c r="G98" s="4" t="s">
        <v>18</v>
      </c>
      <c r="H98" s="303" t="s">
        <v>955</v>
      </c>
      <c r="I98" s="582" t="str">
        <f>VLOOKUP(H98,'9a-Typen vloeren'!$A$10:$B$40,2,FALSE)</f>
        <v>zie kwaliteitsontwerp</v>
      </c>
      <c r="J98" s="583">
        <v>10</v>
      </c>
      <c r="K98" s="433">
        <f t="shared" si="7"/>
        <v>0</v>
      </c>
      <c r="L98" s="433">
        <f t="shared" si="8"/>
        <v>0</v>
      </c>
      <c r="M98" s="433">
        <f t="shared" si="9"/>
        <v>0</v>
      </c>
      <c r="N98" s="672"/>
      <c r="O98" s="729">
        <f>IF(N98="",0,N98*K98/'9b-Vloeronderhoud'!$F$4)</f>
        <v>0</v>
      </c>
      <c r="P98" s="672"/>
      <c r="Q98" s="729" t="e">
        <f>IF(O98="",0,P98*L98/'9b-Vloeronderhoud'!$F$6)</f>
        <v>#DIV/0!</v>
      </c>
      <c r="R98" s="449">
        <v>1</v>
      </c>
      <c r="S98" s="672">
        <v>190</v>
      </c>
      <c r="T98" s="161" t="e">
        <f t="shared" si="5"/>
        <v>#DIV/0!</v>
      </c>
      <c r="U98" s="162">
        <f>IF(S98="nio",0,IF(S98&gt;0,VLOOKUP(G98,'3-Productie normen'!A:K,VLOOKUP(S98,'3-Productie normen'!L:N,3,FALSE),FALSE)))</f>
        <v>0</v>
      </c>
      <c r="V98" s="162">
        <f>VLOOKUP(G98,'3-Productie normen'!A:K,10,FALSE)</f>
        <v>1859.5880019121171</v>
      </c>
      <c r="W98" s="163">
        <f>VLOOKUP(G98,'3-Productie normen'!A:K,11,FALSE)</f>
        <v>0</v>
      </c>
      <c r="X98" s="163"/>
      <c r="Z98" s="129">
        <f t="shared" si="6"/>
        <v>1900</v>
      </c>
    </row>
    <row r="99" spans="1:26" ht="14.1" customHeight="1">
      <c r="A99" s="144">
        <v>105</v>
      </c>
      <c r="B99" s="485" t="s">
        <v>229</v>
      </c>
      <c r="C99" s="159" t="s">
        <v>427</v>
      </c>
      <c r="D99" s="132" t="s">
        <v>98</v>
      </c>
      <c r="E99" s="702" t="s">
        <v>312</v>
      </c>
      <c r="F99" s="126" t="s">
        <v>282</v>
      </c>
      <c r="G99" s="460" t="s">
        <v>881</v>
      </c>
      <c r="H99" s="490" t="s">
        <v>335</v>
      </c>
      <c r="I99" s="582" t="str">
        <f>VLOOKUP(H99,'9a-Typen vloeren'!$A$10:$B$40,2,FALSE)</f>
        <v>Schrobben</v>
      </c>
      <c r="J99" s="583">
        <v>13</v>
      </c>
      <c r="K99" s="433">
        <f t="shared" si="7"/>
        <v>0</v>
      </c>
      <c r="L99" s="433">
        <f t="shared" si="8"/>
        <v>0</v>
      </c>
      <c r="M99" s="433">
        <f t="shared" si="9"/>
        <v>0</v>
      </c>
      <c r="N99" s="672"/>
      <c r="O99" s="729">
        <f>IF(N99="",0,N99*K99/'9b-Vloeronderhoud'!$F$4)</f>
        <v>0</v>
      </c>
      <c r="P99" s="672"/>
      <c r="Q99" s="729" t="e">
        <f>IF(O99="",0,P99*L99/'9b-Vloeronderhoud'!$F$6)</f>
        <v>#DIV/0!</v>
      </c>
      <c r="R99" s="449">
        <v>1</v>
      </c>
      <c r="S99" s="672" t="s">
        <v>179</v>
      </c>
      <c r="T99" s="161">
        <f t="shared" si="5"/>
        <v>0</v>
      </c>
      <c r="U99" s="162">
        <f>IF(S99="nio",0,IF(S99&gt;0,VLOOKUP(G99,'3-Productie normen'!A:K,VLOOKUP(S99,'3-Productie normen'!L:N,3,FALSE),FALSE)))</f>
        <v>0</v>
      </c>
      <c r="V99" s="162">
        <f>VLOOKUP(G99,'3-Productie normen'!A:K,10,FALSE)</f>
        <v>5262.809993648526</v>
      </c>
      <c r="W99" s="163">
        <f>VLOOKUP(G99,'3-Productie normen'!A:K,11,FALSE)</f>
        <v>0</v>
      </c>
      <c r="X99" s="163"/>
      <c r="Z99" s="129">
        <f t="shared" si="6"/>
        <v>0</v>
      </c>
    </row>
    <row r="100" spans="1:26" ht="14.1" customHeight="1">
      <c r="A100" s="144">
        <v>106</v>
      </c>
      <c r="B100" s="485" t="s">
        <v>229</v>
      </c>
      <c r="C100" s="159" t="s">
        <v>427</v>
      </c>
      <c r="D100" s="132" t="s">
        <v>98</v>
      </c>
      <c r="E100" s="702" t="s">
        <v>345</v>
      </c>
      <c r="F100" s="126" t="s">
        <v>346</v>
      </c>
      <c r="G100" s="460" t="s">
        <v>881</v>
      </c>
      <c r="H100" s="490" t="s">
        <v>375</v>
      </c>
      <c r="I100" s="582" t="str">
        <f>VLOOKUP(H100,'9a-Typen vloeren'!$A$10:$B$40,2,FALSE)</f>
        <v>n.v.t.</v>
      </c>
      <c r="J100" s="583">
        <v>1</v>
      </c>
      <c r="K100" s="433">
        <f t="shared" si="7"/>
        <v>0</v>
      </c>
      <c r="L100" s="433">
        <f t="shared" si="8"/>
        <v>0</v>
      </c>
      <c r="M100" s="433">
        <f t="shared" si="9"/>
        <v>0</v>
      </c>
      <c r="N100" s="672"/>
      <c r="O100" s="729">
        <f>IF(N100="",0,N100*K100/'9b-Vloeronderhoud'!$F$4)</f>
        <v>0</v>
      </c>
      <c r="P100" s="672"/>
      <c r="Q100" s="729" t="e">
        <f>IF(O100="",0,P100*L100/'9b-Vloeronderhoud'!$F$6)</f>
        <v>#DIV/0!</v>
      </c>
      <c r="R100" s="449">
        <v>1</v>
      </c>
      <c r="S100" s="672" t="s">
        <v>179</v>
      </c>
      <c r="T100" s="161">
        <f t="shared" si="5"/>
        <v>0</v>
      </c>
      <c r="U100" s="162">
        <f>IF(S100="nio",0,IF(S100&gt;0,VLOOKUP(G100,'3-Productie normen'!A:K,VLOOKUP(S100,'3-Productie normen'!L:N,3,FALSE),FALSE)))</f>
        <v>0</v>
      </c>
      <c r="V100" s="162">
        <f>VLOOKUP(G100,'3-Productie normen'!A:K,10,FALSE)</f>
        <v>5262.809993648526</v>
      </c>
      <c r="W100" s="163">
        <f>VLOOKUP(G100,'3-Productie normen'!A:K,11,FALSE)</f>
        <v>0</v>
      </c>
      <c r="X100" s="163"/>
      <c r="Z100" s="129">
        <f t="shared" si="6"/>
        <v>0</v>
      </c>
    </row>
    <row r="101" spans="1:26" ht="14.1" customHeight="1">
      <c r="A101" s="144">
        <v>107</v>
      </c>
      <c r="B101" s="485" t="s">
        <v>229</v>
      </c>
      <c r="C101" s="159" t="s">
        <v>427</v>
      </c>
      <c r="D101" s="132" t="s">
        <v>98</v>
      </c>
      <c r="E101" s="702" t="s">
        <v>314</v>
      </c>
      <c r="F101" s="126" t="s">
        <v>221</v>
      </c>
      <c r="G101" s="303" t="s">
        <v>221</v>
      </c>
      <c r="H101" s="490" t="s">
        <v>100</v>
      </c>
      <c r="I101" s="582" t="str">
        <f>VLOOKUP(H101,'9a-Typen vloeren'!$A$10:$B$40,2,FALSE)</f>
        <v>Sprayen/ conserveren</v>
      </c>
      <c r="J101" s="583">
        <v>61</v>
      </c>
      <c r="K101" s="433">
        <f t="shared" si="7"/>
        <v>61</v>
      </c>
      <c r="L101" s="433">
        <f t="shared" si="8"/>
        <v>0</v>
      </c>
      <c r="M101" s="433">
        <f t="shared" si="9"/>
        <v>0</v>
      </c>
      <c r="N101" s="672"/>
      <c r="O101" s="729">
        <f>IF(N101="",0,N101*K101/'9b-Vloeronderhoud'!$F$4)</f>
        <v>0</v>
      </c>
      <c r="P101" s="672"/>
      <c r="Q101" s="729" t="e">
        <f>IF(O101="",0,P101*L101/'9b-Vloeronderhoud'!$F$6)</f>
        <v>#DIV/0!</v>
      </c>
      <c r="R101" s="449">
        <v>1</v>
      </c>
      <c r="S101" s="672">
        <v>80</v>
      </c>
      <c r="T101" s="161" t="e">
        <f t="shared" si="5"/>
        <v>#DIV/0!</v>
      </c>
      <c r="U101" s="162">
        <f>IF(S101="nio",0,IF(S101&gt;0,VLOOKUP(G101,'3-Productie normen'!A:K,VLOOKUP(S101,'3-Productie normen'!L:N,3,FALSE),FALSE)))</f>
        <v>0</v>
      </c>
      <c r="V101" s="162">
        <f>VLOOKUP(G101,'3-Productie normen'!A:K,10,FALSE)</f>
        <v>16013.110036668773</v>
      </c>
      <c r="W101" s="163">
        <f>VLOOKUP(G101,'3-Productie normen'!A:K,11,FALSE)</f>
        <v>0</v>
      </c>
      <c r="X101" s="163"/>
      <c r="Z101" s="129">
        <f t="shared" si="6"/>
        <v>4880</v>
      </c>
    </row>
    <row r="102" spans="1:26" ht="14.1" customHeight="1">
      <c r="A102" s="144">
        <v>108</v>
      </c>
      <c r="B102" s="485" t="s">
        <v>229</v>
      </c>
      <c r="C102" s="159" t="s">
        <v>427</v>
      </c>
      <c r="D102" s="132" t="s">
        <v>98</v>
      </c>
      <c r="E102" s="702" t="s">
        <v>315</v>
      </c>
      <c r="F102" s="126" t="s">
        <v>347</v>
      </c>
      <c r="G102" s="502" t="s">
        <v>347</v>
      </c>
      <c r="H102" s="490" t="s">
        <v>376</v>
      </c>
      <c r="I102" s="582" t="str">
        <f>VLOOKUP(H102,'9a-Typen vloeren'!$A$10:$B$40,2,FALSE)</f>
        <v>Schrobben</v>
      </c>
      <c r="J102" s="583">
        <v>69</v>
      </c>
      <c r="K102" s="433">
        <f t="shared" si="7"/>
        <v>0</v>
      </c>
      <c r="L102" s="433">
        <f t="shared" si="8"/>
        <v>69</v>
      </c>
      <c r="M102" s="433">
        <f t="shared" si="9"/>
        <v>0</v>
      </c>
      <c r="N102" s="672"/>
      <c r="O102" s="729">
        <f>IF(N102="",0,N102*K102/'9b-Vloeronderhoud'!$F$4)</f>
        <v>0</v>
      </c>
      <c r="P102" s="672">
        <v>3</v>
      </c>
      <c r="Q102" s="729" t="e">
        <f>IF(O102="",0,P102*L102/'9b-Vloeronderhoud'!$F$6)</f>
        <v>#DIV/0!</v>
      </c>
      <c r="R102" s="449">
        <v>1</v>
      </c>
      <c r="S102" s="672">
        <v>44</v>
      </c>
      <c r="T102" s="161" t="e">
        <f t="shared" si="5"/>
        <v>#DIV/0!</v>
      </c>
      <c r="U102" s="162">
        <f>IF(S102="nio",0,IF(S102&gt;0,VLOOKUP(G102,'3-Productie normen'!A:K,VLOOKUP(S102,'3-Productie normen'!L:N,3,FALSE),FALSE)))</f>
        <v>0</v>
      </c>
      <c r="V102" s="162">
        <f>VLOOKUP(G102,'3-Productie normen'!A:K,10,FALSE)</f>
        <v>1134.6299961853026</v>
      </c>
      <c r="W102" s="163">
        <f>VLOOKUP(G102,'3-Productie normen'!A:K,11,FALSE)</f>
        <v>0</v>
      </c>
      <c r="X102" s="163"/>
      <c r="Z102" s="129">
        <f t="shared" si="6"/>
        <v>3036</v>
      </c>
    </row>
    <row r="103" spans="1:26" ht="14.1" customHeight="1">
      <c r="A103" s="144">
        <v>109</v>
      </c>
      <c r="B103" s="485" t="s">
        <v>229</v>
      </c>
      <c r="C103" s="159" t="s">
        <v>427</v>
      </c>
      <c r="D103" s="132" t="s">
        <v>98</v>
      </c>
      <c r="E103" s="702" t="s">
        <v>317</v>
      </c>
      <c r="F103" s="126" t="s">
        <v>348</v>
      </c>
      <c r="G103" s="460" t="s">
        <v>881</v>
      </c>
      <c r="H103" s="490" t="s">
        <v>376</v>
      </c>
      <c r="I103" s="582" t="str">
        <f>VLOOKUP(H103,'9a-Typen vloeren'!$A$10:$B$40,2,FALSE)</f>
        <v>Schrobben</v>
      </c>
      <c r="J103" s="583">
        <v>6</v>
      </c>
      <c r="K103" s="433">
        <f t="shared" si="7"/>
        <v>0</v>
      </c>
      <c r="L103" s="433">
        <f t="shared" si="8"/>
        <v>0</v>
      </c>
      <c r="M103" s="433">
        <f t="shared" si="9"/>
        <v>0</v>
      </c>
      <c r="N103" s="672"/>
      <c r="O103" s="729">
        <f>IF(N103="",0,N103*K103/'9b-Vloeronderhoud'!$F$4)</f>
        <v>0</v>
      </c>
      <c r="P103" s="672"/>
      <c r="Q103" s="729" t="e">
        <f>IF(O103="",0,P103*L103/'9b-Vloeronderhoud'!$F$6)</f>
        <v>#DIV/0!</v>
      </c>
      <c r="R103" s="449">
        <v>1</v>
      </c>
      <c r="S103" s="672" t="s">
        <v>179</v>
      </c>
      <c r="T103" s="161">
        <f t="shared" si="5"/>
        <v>0</v>
      </c>
      <c r="U103" s="162">
        <f>IF(S103="nio",0,IF(S103&gt;0,VLOOKUP(G103,'3-Productie normen'!A:K,VLOOKUP(S103,'3-Productie normen'!L:N,3,FALSE),FALSE)))</f>
        <v>0</v>
      </c>
      <c r="V103" s="162">
        <f>VLOOKUP(G103,'3-Productie normen'!A:K,10,FALSE)</f>
        <v>5262.809993648526</v>
      </c>
      <c r="W103" s="163">
        <f>VLOOKUP(G103,'3-Productie normen'!A:K,11,FALSE)</f>
        <v>0</v>
      </c>
      <c r="X103" s="163"/>
      <c r="Z103" s="129">
        <f t="shared" si="6"/>
        <v>0</v>
      </c>
    </row>
    <row r="104" spans="1:26" ht="14.1" customHeight="1">
      <c r="A104" s="144">
        <v>110</v>
      </c>
      <c r="B104" s="485" t="s">
        <v>229</v>
      </c>
      <c r="C104" s="159" t="s">
        <v>427</v>
      </c>
      <c r="D104" s="132" t="s">
        <v>98</v>
      </c>
      <c r="E104" s="702" t="s">
        <v>318</v>
      </c>
      <c r="F104" s="126" t="s">
        <v>281</v>
      </c>
      <c r="G104" s="460" t="s">
        <v>881</v>
      </c>
      <c r="H104" s="490" t="s">
        <v>335</v>
      </c>
      <c r="I104" s="582" t="str">
        <f>VLOOKUP(H104,'9a-Typen vloeren'!$A$10:$B$40,2,FALSE)</f>
        <v>Schrobben</v>
      </c>
      <c r="J104" s="583">
        <v>2</v>
      </c>
      <c r="K104" s="433">
        <f t="shared" si="7"/>
        <v>0</v>
      </c>
      <c r="L104" s="433">
        <f t="shared" si="8"/>
        <v>0</v>
      </c>
      <c r="M104" s="433">
        <f t="shared" si="9"/>
        <v>0</v>
      </c>
      <c r="N104" s="672"/>
      <c r="O104" s="729">
        <f>IF(N104="",0,N104*K104/'9b-Vloeronderhoud'!$F$4)</f>
        <v>0</v>
      </c>
      <c r="P104" s="672"/>
      <c r="Q104" s="729" t="e">
        <f>IF(O104="",0,P104*L104/'9b-Vloeronderhoud'!$F$6)</f>
        <v>#DIV/0!</v>
      </c>
      <c r="R104" s="449">
        <v>1</v>
      </c>
      <c r="S104" s="672" t="s">
        <v>179</v>
      </c>
      <c r="T104" s="161">
        <f t="shared" si="5"/>
        <v>0</v>
      </c>
      <c r="U104" s="162">
        <f>IF(S104="nio",0,IF(S104&gt;0,VLOOKUP(G104,'3-Productie normen'!A:K,VLOOKUP(S104,'3-Productie normen'!L:N,3,FALSE),FALSE)))</f>
        <v>0</v>
      </c>
      <c r="V104" s="162">
        <f>VLOOKUP(G104,'3-Productie normen'!A:K,10,FALSE)</f>
        <v>5262.809993648526</v>
      </c>
      <c r="W104" s="163">
        <f>VLOOKUP(G104,'3-Productie normen'!A:K,11,FALSE)</f>
        <v>0</v>
      </c>
      <c r="X104" s="163"/>
      <c r="Z104" s="129">
        <f t="shared" si="6"/>
        <v>0</v>
      </c>
    </row>
    <row r="105" spans="1:26" ht="14.1" customHeight="1">
      <c r="A105" s="144">
        <v>111</v>
      </c>
      <c r="B105" s="485" t="s">
        <v>229</v>
      </c>
      <c r="C105" s="159" t="s">
        <v>427</v>
      </c>
      <c r="D105" s="132" t="s">
        <v>98</v>
      </c>
      <c r="E105" s="702" t="s">
        <v>319</v>
      </c>
      <c r="F105" s="126" t="s">
        <v>349</v>
      </c>
      <c r="G105" s="546" t="s">
        <v>480</v>
      </c>
      <c r="H105" s="490" t="s">
        <v>377</v>
      </c>
      <c r="I105" s="582" t="str">
        <f>VLOOKUP(H105,'9a-Typen vloeren'!$A$10:$B$40,2,FALSE)</f>
        <v>Schrobben</v>
      </c>
      <c r="J105" s="583">
        <v>2.0299999713897705</v>
      </c>
      <c r="K105" s="433">
        <f t="shared" si="7"/>
        <v>0</v>
      </c>
      <c r="L105" s="433">
        <f t="shared" si="8"/>
        <v>2.0299999713897705</v>
      </c>
      <c r="M105" s="433">
        <f t="shared" si="9"/>
        <v>0</v>
      </c>
      <c r="N105" s="672"/>
      <c r="O105" s="729">
        <f>IF(N105="",0,N105*K105/'9b-Vloeronderhoud'!$F$4)</f>
        <v>0</v>
      </c>
      <c r="P105" s="672"/>
      <c r="Q105" s="729" t="e">
        <f>IF(O105="",0,P105*L105/'9b-Vloeronderhoud'!$F$6)</f>
        <v>#DIV/0!</v>
      </c>
      <c r="R105" s="449">
        <v>1</v>
      </c>
      <c r="S105" s="672">
        <v>40</v>
      </c>
      <c r="T105" s="161" t="e">
        <f t="shared" si="5"/>
        <v>#DIV/0!</v>
      </c>
      <c r="U105" s="162">
        <f>IF(S105="nio",0,IF(S105&gt;0,VLOOKUP(G105,'3-Productie normen'!A:K,VLOOKUP(S105,'3-Productie normen'!L:N,3,FALSE),FALSE)))</f>
        <v>0</v>
      </c>
      <c r="V105" s="162">
        <f>VLOOKUP(G105,'3-Productie normen'!A:K,10,FALSE)</f>
        <v>31.690000023841854</v>
      </c>
      <c r="W105" s="163">
        <f>VLOOKUP(G105,'3-Productie normen'!A:K,11,FALSE)</f>
        <v>0</v>
      </c>
      <c r="X105" s="163"/>
      <c r="Z105" s="129">
        <f t="shared" si="6"/>
        <v>81.19999885559082</v>
      </c>
    </row>
    <row r="106" spans="1:26" ht="14.1" customHeight="1">
      <c r="A106" s="144">
        <v>112</v>
      </c>
      <c r="B106" s="485" t="s">
        <v>229</v>
      </c>
      <c r="C106" s="159" t="s">
        <v>427</v>
      </c>
      <c r="D106" s="132" t="s">
        <v>98</v>
      </c>
      <c r="E106" s="702" t="s">
        <v>320</v>
      </c>
      <c r="F106" s="126" t="s">
        <v>283</v>
      </c>
      <c r="G106" s="546" t="s">
        <v>286</v>
      </c>
      <c r="H106" s="490" t="s">
        <v>335</v>
      </c>
      <c r="I106" s="582" t="str">
        <f>VLOOKUP(H106,'9a-Typen vloeren'!$A$10:$B$40,2,FALSE)</f>
        <v>Schrobben</v>
      </c>
      <c r="J106" s="583">
        <v>9.2299995422363281</v>
      </c>
      <c r="K106" s="433">
        <f t="shared" si="7"/>
        <v>0</v>
      </c>
      <c r="L106" s="433">
        <f t="shared" si="8"/>
        <v>9.2299995422363281</v>
      </c>
      <c r="M106" s="433">
        <f t="shared" si="9"/>
        <v>0</v>
      </c>
      <c r="N106" s="672"/>
      <c r="O106" s="729">
        <f>IF(N106="",0,N106*K106/'9b-Vloeronderhoud'!$F$4)</f>
        <v>0</v>
      </c>
      <c r="P106" s="672">
        <v>3</v>
      </c>
      <c r="Q106" s="729" t="e">
        <f>IF(O106="",0,P106*L106/'9b-Vloeronderhoud'!$F$6)</f>
        <v>#DIV/0!</v>
      </c>
      <c r="R106" s="449">
        <v>1</v>
      </c>
      <c r="S106" s="672">
        <v>120</v>
      </c>
      <c r="T106" s="161" t="e">
        <f t="shared" si="5"/>
        <v>#DIV/0!</v>
      </c>
      <c r="U106" s="162">
        <f>IF(S106="nio",0,IF(S106&gt;0,VLOOKUP(G106,'3-Productie normen'!A:K,VLOOKUP(S106,'3-Productie normen'!L:N,3,FALSE),FALSE)))</f>
        <v>0</v>
      </c>
      <c r="V106" s="162">
        <f>VLOOKUP(G106,'3-Productie normen'!A:K,10,FALSE)</f>
        <v>6152.9500017547598</v>
      </c>
      <c r="W106" s="163">
        <f>VLOOKUP(G106,'3-Productie normen'!A:K,11,FALSE)</f>
        <v>0</v>
      </c>
      <c r="X106" s="163"/>
      <c r="Z106" s="129">
        <f t="shared" si="6"/>
        <v>1107.5999450683594</v>
      </c>
    </row>
    <row r="107" spans="1:26" ht="14.1" customHeight="1">
      <c r="A107" s="144">
        <v>113</v>
      </c>
      <c r="B107" s="485" t="s">
        <v>229</v>
      </c>
      <c r="C107" s="159" t="s">
        <v>427</v>
      </c>
      <c r="D107" s="132" t="s">
        <v>98</v>
      </c>
      <c r="E107" s="702" t="s">
        <v>321</v>
      </c>
      <c r="F107" s="126" t="s">
        <v>304</v>
      </c>
      <c r="G107" s="546" t="s">
        <v>18</v>
      </c>
      <c r="H107" s="303" t="s">
        <v>955</v>
      </c>
      <c r="I107" s="582" t="str">
        <f>VLOOKUP(H107,'9a-Typen vloeren'!$A$10:$B$40,2,FALSE)</f>
        <v>zie kwaliteitsontwerp</v>
      </c>
      <c r="J107" s="583">
        <v>5</v>
      </c>
      <c r="K107" s="433">
        <f t="shared" si="7"/>
        <v>0</v>
      </c>
      <c r="L107" s="433">
        <f t="shared" si="8"/>
        <v>0</v>
      </c>
      <c r="M107" s="433">
        <f t="shared" si="9"/>
        <v>0</v>
      </c>
      <c r="N107" s="672"/>
      <c r="O107" s="729">
        <f>IF(N107="",0,N107*K107/'9b-Vloeronderhoud'!$F$4)</f>
        <v>0</v>
      </c>
      <c r="P107" s="672"/>
      <c r="Q107" s="729" t="e">
        <f>IF(O107="",0,P107*L107/'9b-Vloeronderhoud'!$F$6)</f>
        <v>#DIV/0!</v>
      </c>
      <c r="R107" s="449">
        <v>1</v>
      </c>
      <c r="S107" s="672">
        <v>190</v>
      </c>
      <c r="T107" s="161" t="e">
        <f t="shared" si="5"/>
        <v>#DIV/0!</v>
      </c>
      <c r="U107" s="162">
        <f>IF(S107="nio",0,IF(S107&gt;0,VLOOKUP(G107,'3-Productie normen'!A:K,VLOOKUP(S107,'3-Productie normen'!L:N,3,FALSE),FALSE)))</f>
        <v>0</v>
      </c>
      <c r="V107" s="162">
        <f>VLOOKUP(G107,'3-Productie normen'!A:K,10,FALSE)</f>
        <v>1859.5880019121171</v>
      </c>
      <c r="W107" s="163">
        <f>VLOOKUP(G107,'3-Productie normen'!A:K,11,FALSE)</f>
        <v>0</v>
      </c>
      <c r="X107" s="163"/>
      <c r="Z107" s="129">
        <f t="shared" si="6"/>
        <v>950</v>
      </c>
    </row>
    <row r="108" spans="1:26" ht="14.1" customHeight="1">
      <c r="A108" s="144">
        <v>114</v>
      </c>
      <c r="B108" s="485" t="s">
        <v>229</v>
      </c>
      <c r="C108" s="159" t="s">
        <v>427</v>
      </c>
      <c r="D108" s="132" t="s">
        <v>98</v>
      </c>
      <c r="E108" s="702" t="s">
        <v>323</v>
      </c>
      <c r="F108" s="126" t="s">
        <v>282</v>
      </c>
      <c r="G108" s="460" t="s">
        <v>881</v>
      </c>
      <c r="H108" s="490" t="s">
        <v>335</v>
      </c>
      <c r="I108" s="582" t="str">
        <f>VLOOKUP(H108,'9a-Typen vloeren'!$A$10:$B$40,2,FALSE)</f>
        <v>Schrobben</v>
      </c>
      <c r="J108" s="583">
        <v>6</v>
      </c>
      <c r="K108" s="433">
        <f t="shared" si="7"/>
        <v>0</v>
      </c>
      <c r="L108" s="433">
        <f t="shared" si="8"/>
        <v>0</v>
      </c>
      <c r="M108" s="433">
        <f t="shared" si="9"/>
        <v>0</v>
      </c>
      <c r="N108" s="672"/>
      <c r="O108" s="729">
        <f>IF(N108="",0,N108*K108/'9b-Vloeronderhoud'!$F$4)</f>
        <v>0</v>
      </c>
      <c r="P108" s="672"/>
      <c r="Q108" s="729" t="e">
        <f>IF(O108="",0,P108*L108/'9b-Vloeronderhoud'!$F$6)</f>
        <v>#DIV/0!</v>
      </c>
      <c r="R108" s="449">
        <v>1</v>
      </c>
      <c r="S108" s="672" t="s">
        <v>179</v>
      </c>
      <c r="T108" s="161">
        <f t="shared" si="5"/>
        <v>0</v>
      </c>
      <c r="U108" s="162">
        <f>IF(S108="nio",0,IF(S108&gt;0,VLOOKUP(G108,'3-Productie normen'!A:K,VLOOKUP(S108,'3-Productie normen'!L:N,3,FALSE),FALSE)))</f>
        <v>0</v>
      </c>
      <c r="V108" s="162">
        <f>VLOOKUP(G108,'3-Productie normen'!A:K,10,FALSE)</f>
        <v>5262.809993648526</v>
      </c>
      <c r="W108" s="163">
        <f>VLOOKUP(G108,'3-Productie normen'!A:K,11,FALSE)</f>
        <v>0</v>
      </c>
      <c r="X108" s="163"/>
      <c r="Z108" s="129">
        <f t="shared" si="6"/>
        <v>0</v>
      </c>
    </row>
    <row r="109" spans="1:26" ht="14.1" customHeight="1">
      <c r="A109" s="144">
        <v>115</v>
      </c>
      <c r="B109" s="485" t="s">
        <v>229</v>
      </c>
      <c r="C109" s="159" t="s">
        <v>427</v>
      </c>
      <c r="D109" s="132" t="s">
        <v>98</v>
      </c>
      <c r="E109" s="702" t="s">
        <v>325</v>
      </c>
      <c r="F109" s="126" t="s">
        <v>302</v>
      </c>
      <c r="G109" s="303" t="s">
        <v>18</v>
      </c>
      <c r="H109" s="303" t="s">
        <v>955</v>
      </c>
      <c r="I109" s="582" t="str">
        <f>VLOOKUP(H109,'9a-Typen vloeren'!$A$10:$B$40,2,FALSE)</f>
        <v>zie kwaliteitsontwerp</v>
      </c>
      <c r="J109" s="583">
        <v>6</v>
      </c>
      <c r="K109" s="433">
        <f t="shared" si="7"/>
        <v>0</v>
      </c>
      <c r="L109" s="433">
        <f t="shared" si="8"/>
        <v>0</v>
      </c>
      <c r="M109" s="433">
        <f t="shared" si="9"/>
        <v>0</v>
      </c>
      <c r="N109" s="672"/>
      <c r="O109" s="729">
        <f>IF(N109="",0,N109*K109/'9b-Vloeronderhoud'!$F$4)</f>
        <v>0</v>
      </c>
      <c r="P109" s="672"/>
      <c r="Q109" s="729" t="e">
        <f>IF(O109="",0,P109*L109/'9b-Vloeronderhoud'!$F$6)</f>
        <v>#DIV/0!</v>
      </c>
      <c r="R109" s="449">
        <v>1</v>
      </c>
      <c r="S109" s="672">
        <v>190</v>
      </c>
      <c r="T109" s="161" t="e">
        <f t="shared" si="5"/>
        <v>#DIV/0!</v>
      </c>
      <c r="U109" s="162">
        <f>IF(S109="nio",0,IF(S109&gt;0,VLOOKUP(G109,'3-Productie normen'!A:K,VLOOKUP(S109,'3-Productie normen'!L:N,3,FALSE),FALSE)))</f>
        <v>0</v>
      </c>
      <c r="V109" s="162">
        <f>VLOOKUP(G109,'3-Productie normen'!A:K,10,FALSE)</f>
        <v>1859.5880019121171</v>
      </c>
      <c r="W109" s="163">
        <f>VLOOKUP(G109,'3-Productie normen'!A:K,11,FALSE)</f>
        <v>0</v>
      </c>
      <c r="X109" s="163"/>
      <c r="Z109" s="129">
        <f t="shared" si="6"/>
        <v>1140</v>
      </c>
    </row>
    <row r="110" spans="1:26" ht="14.1" customHeight="1">
      <c r="A110" s="144">
        <v>116</v>
      </c>
      <c r="B110" s="485" t="s">
        <v>229</v>
      </c>
      <c r="C110" s="159" t="s">
        <v>427</v>
      </c>
      <c r="D110" s="132" t="s">
        <v>98</v>
      </c>
      <c r="E110" s="702" t="s">
        <v>326</v>
      </c>
      <c r="F110" s="126" t="s">
        <v>283</v>
      </c>
      <c r="G110" s="303" t="s">
        <v>286</v>
      </c>
      <c r="H110" s="303" t="s">
        <v>332</v>
      </c>
      <c r="I110" s="582" t="str">
        <f>VLOOKUP(H110,'9a-Typen vloeren'!$A$10:$B$40,2,FALSE)</f>
        <v>Sproei/extraheren</v>
      </c>
      <c r="J110" s="583">
        <v>5.8499999046325684</v>
      </c>
      <c r="K110" s="433">
        <f t="shared" si="7"/>
        <v>0</v>
      </c>
      <c r="L110" s="433">
        <f t="shared" si="8"/>
        <v>0</v>
      </c>
      <c r="M110" s="433">
        <f t="shared" si="9"/>
        <v>5.8499999046325684</v>
      </c>
      <c r="N110" s="672"/>
      <c r="O110" s="729">
        <f>IF(N110="",0,N110*K110/'9b-Vloeronderhoud'!$F$4)</f>
        <v>0</v>
      </c>
      <c r="P110" s="672"/>
      <c r="Q110" s="729" t="e">
        <f>IF(O110="",0,P110*L110/'9b-Vloeronderhoud'!$F$6)</f>
        <v>#DIV/0!</v>
      </c>
      <c r="R110" s="449">
        <v>1</v>
      </c>
      <c r="S110" s="672">
        <v>120</v>
      </c>
      <c r="T110" s="161" t="e">
        <f t="shared" si="5"/>
        <v>#DIV/0!</v>
      </c>
      <c r="U110" s="162">
        <f>IF(S110="nio",0,IF(S110&gt;0,VLOOKUP(G110,'3-Productie normen'!A:K,VLOOKUP(S110,'3-Productie normen'!L:N,3,FALSE),FALSE)))</f>
        <v>0</v>
      </c>
      <c r="V110" s="162">
        <f>VLOOKUP(G110,'3-Productie normen'!A:K,10,FALSE)</f>
        <v>6152.9500017547598</v>
      </c>
      <c r="W110" s="163">
        <f>VLOOKUP(G110,'3-Productie normen'!A:K,11,FALSE)</f>
        <v>0</v>
      </c>
      <c r="X110" s="163"/>
      <c r="Z110" s="129">
        <f t="shared" si="6"/>
        <v>701.9999885559082</v>
      </c>
    </row>
    <row r="111" spans="1:26" ht="14.1" customHeight="1">
      <c r="A111" s="144">
        <v>117</v>
      </c>
      <c r="B111" s="485" t="s">
        <v>229</v>
      </c>
      <c r="C111" s="159" t="s">
        <v>427</v>
      </c>
      <c r="D111" s="132" t="s">
        <v>98</v>
      </c>
      <c r="E111" s="702" t="s">
        <v>328</v>
      </c>
      <c r="F111" s="126" t="s">
        <v>350</v>
      </c>
      <c r="G111" s="460" t="s">
        <v>299</v>
      </c>
      <c r="H111" s="303" t="s">
        <v>332</v>
      </c>
      <c r="I111" s="582" t="str">
        <f>VLOOKUP(H111,'9a-Typen vloeren'!$A$10:$B$40,2,FALSE)</f>
        <v>Sproei/extraheren</v>
      </c>
      <c r="J111" s="583">
        <v>22</v>
      </c>
      <c r="K111" s="433">
        <f t="shared" si="7"/>
        <v>0</v>
      </c>
      <c r="L111" s="433">
        <f t="shared" si="8"/>
        <v>0</v>
      </c>
      <c r="M111" s="433">
        <f t="shared" si="9"/>
        <v>22</v>
      </c>
      <c r="N111" s="672"/>
      <c r="O111" s="729">
        <f>IF(N111="",0,N111*K111/'9b-Vloeronderhoud'!$F$4)</f>
        <v>0</v>
      </c>
      <c r="P111" s="672"/>
      <c r="Q111" s="729" t="e">
        <f>IF(O111="",0,P111*L111/'9b-Vloeronderhoud'!$F$6)</f>
        <v>#DIV/0!</v>
      </c>
      <c r="R111" s="449">
        <v>1</v>
      </c>
      <c r="S111" s="672">
        <v>40</v>
      </c>
      <c r="T111" s="161" t="e">
        <f t="shared" si="5"/>
        <v>#DIV/0!</v>
      </c>
      <c r="U111" s="162">
        <f>IF(S111="nio",0,IF(S111&gt;0,VLOOKUP(G111,'3-Productie normen'!A:K,VLOOKUP(S111,'3-Productie normen'!L:N,3,FALSE),FALSE)))</f>
        <v>0</v>
      </c>
      <c r="V111" s="162">
        <f>VLOOKUP(G111,'3-Productie normen'!A:K,10,FALSE)</f>
        <v>1107.9100014114381</v>
      </c>
      <c r="W111" s="163">
        <f>VLOOKUP(G111,'3-Productie normen'!A:K,11,FALSE)</f>
        <v>0</v>
      </c>
      <c r="X111" s="163"/>
      <c r="Z111" s="129">
        <f t="shared" si="6"/>
        <v>880</v>
      </c>
    </row>
    <row r="112" spans="1:26" ht="14.1" customHeight="1">
      <c r="A112" s="144">
        <v>118</v>
      </c>
      <c r="B112" s="485" t="s">
        <v>229</v>
      </c>
      <c r="C112" s="159" t="s">
        <v>427</v>
      </c>
      <c r="D112" s="132" t="s">
        <v>98</v>
      </c>
      <c r="E112" s="702" t="s">
        <v>329</v>
      </c>
      <c r="F112" s="126" t="s">
        <v>297</v>
      </c>
      <c r="G112" s="460" t="s">
        <v>189</v>
      </c>
      <c r="H112" s="303" t="s">
        <v>332</v>
      </c>
      <c r="I112" s="582" t="str">
        <f>VLOOKUP(H112,'9a-Typen vloeren'!$A$10:$B$40,2,FALSE)</f>
        <v>Sproei/extraheren</v>
      </c>
      <c r="J112" s="583">
        <v>17</v>
      </c>
      <c r="K112" s="433">
        <f t="shared" si="7"/>
        <v>0</v>
      </c>
      <c r="L112" s="433">
        <f t="shared" si="8"/>
        <v>0</v>
      </c>
      <c r="M112" s="433">
        <f t="shared" si="9"/>
        <v>17</v>
      </c>
      <c r="N112" s="672"/>
      <c r="O112" s="729">
        <f>IF(N112="",0,N112*K112/'9b-Vloeronderhoud'!$F$4)</f>
        <v>0</v>
      </c>
      <c r="P112" s="672"/>
      <c r="Q112" s="729" t="e">
        <f>IF(O112="",0,P112*L112/'9b-Vloeronderhoud'!$F$6)</f>
        <v>#DIV/0!</v>
      </c>
      <c r="R112" s="449">
        <v>1</v>
      </c>
      <c r="S112" s="672">
        <v>40</v>
      </c>
      <c r="T112" s="161" t="e">
        <f t="shared" si="5"/>
        <v>#DIV/0!</v>
      </c>
      <c r="U112" s="162">
        <f>IF(S112="nio",0,IF(S112&gt;0,VLOOKUP(G112,'3-Productie normen'!A:K,VLOOKUP(S112,'3-Productie normen'!L:N,3,FALSE),FALSE)))</f>
        <v>0</v>
      </c>
      <c r="V112" s="162">
        <f>VLOOKUP(G112,'3-Productie normen'!A:K,10,FALSE)</f>
        <v>1494.1700078582762</v>
      </c>
      <c r="W112" s="163">
        <f>VLOOKUP(G112,'3-Productie normen'!A:K,11,FALSE)</f>
        <v>0</v>
      </c>
      <c r="X112" s="163"/>
      <c r="Z112" s="129">
        <f t="shared" si="6"/>
        <v>680</v>
      </c>
    </row>
    <row r="113" spans="1:26" ht="14.1" customHeight="1">
      <c r="A113" s="144">
        <v>119</v>
      </c>
      <c r="B113" s="485" t="s">
        <v>229</v>
      </c>
      <c r="C113" s="159" t="s">
        <v>427</v>
      </c>
      <c r="D113" s="132" t="s">
        <v>374</v>
      </c>
      <c r="E113" s="702" t="s">
        <v>351</v>
      </c>
      <c r="F113" s="126" t="s">
        <v>283</v>
      </c>
      <c r="G113" s="160" t="s">
        <v>286</v>
      </c>
      <c r="H113" s="490" t="s">
        <v>100</v>
      </c>
      <c r="I113" s="582" t="str">
        <f>VLOOKUP(H113,'9a-Typen vloeren'!$A$10:$B$40,2,FALSE)</f>
        <v>Sprayen/ conserveren</v>
      </c>
      <c r="J113" s="583">
        <v>52</v>
      </c>
      <c r="K113" s="433">
        <f t="shared" si="7"/>
        <v>52</v>
      </c>
      <c r="L113" s="433">
        <f t="shared" si="8"/>
        <v>0</v>
      </c>
      <c r="M113" s="433">
        <f t="shared" si="9"/>
        <v>0</v>
      </c>
      <c r="N113" s="672">
        <v>2</v>
      </c>
      <c r="O113" s="729" t="e">
        <f>IF(N113="",0,N113*K113/'9b-Vloeronderhoud'!$F$4)</f>
        <v>#DIV/0!</v>
      </c>
      <c r="P113" s="672"/>
      <c r="Q113" s="729" t="e">
        <f>IF(O113="",0,P113*L113/'9b-Vloeronderhoud'!$F$6)</f>
        <v>#DIV/0!</v>
      </c>
      <c r="R113" s="449">
        <v>1</v>
      </c>
      <c r="S113" s="672">
        <v>120</v>
      </c>
      <c r="T113" s="161" t="e">
        <f t="shared" si="5"/>
        <v>#DIV/0!</v>
      </c>
      <c r="U113" s="162">
        <f>IF(S113="nio",0,IF(S113&gt;0,VLOOKUP(G113,'3-Productie normen'!A:K,VLOOKUP(S113,'3-Productie normen'!L:N,3,FALSE),FALSE)))</f>
        <v>0</v>
      </c>
      <c r="V113" s="162">
        <f>VLOOKUP(G113,'3-Productie normen'!A:K,10,FALSE)</f>
        <v>6152.9500017547598</v>
      </c>
      <c r="W113" s="163">
        <f>VLOOKUP(G113,'3-Productie normen'!A:K,11,FALSE)</f>
        <v>0</v>
      </c>
      <c r="X113" s="163"/>
      <c r="Z113" s="129">
        <f t="shared" si="6"/>
        <v>6240</v>
      </c>
    </row>
    <row r="114" spans="1:26" ht="14.1" customHeight="1">
      <c r="A114" s="144">
        <v>120</v>
      </c>
      <c r="B114" s="485" t="s">
        <v>229</v>
      </c>
      <c r="C114" s="159" t="s">
        <v>427</v>
      </c>
      <c r="D114" s="132" t="s">
        <v>374</v>
      </c>
      <c r="E114" s="702" t="s">
        <v>352</v>
      </c>
      <c r="F114" s="126" t="s">
        <v>353</v>
      </c>
      <c r="G114" s="122" t="s">
        <v>421</v>
      </c>
      <c r="H114" s="303" t="s">
        <v>332</v>
      </c>
      <c r="I114" s="582" t="str">
        <f>VLOOKUP(H114,'9a-Typen vloeren'!$A$10:$B$40,2,FALSE)</f>
        <v>Sproei/extraheren</v>
      </c>
      <c r="J114" s="583">
        <v>72</v>
      </c>
      <c r="K114" s="433">
        <f t="shared" si="7"/>
        <v>0</v>
      </c>
      <c r="L114" s="433">
        <f t="shared" si="8"/>
        <v>0</v>
      </c>
      <c r="M114" s="433">
        <f t="shared" si="9"/>
        <v>72</v>
      </c>
      <c r="N114" s="672"/>
      <c r="O114" s="729">
        <f>IF(N114="",0,N114*K114/'9b-Vloeronderhoud'!$F$4)</f>
        <v>0</v>
      </c>
      <c r="P114" s="672"/>
      <c r="Q114" s="729" t="e">
        <f>IF(O114="",0,P114*L114/'9b-Vloeronderhoud'!$F$6)</f>
        <v>#DIV/0!</v>
      </c>
      <c r="R114" s="449">
        <v>1</v>
      </c>
      <c r="S114" s="672">
        <v>40</v>
      </c>
      <c r="T114" s="161" t="e">
        <f t="shared" si="5"/>
        <v>#DIV/0!</v>
      </c>
      <c r="U114" s="162">
        <f>IF(S114="nio",0,IF(S114&gt;0,VLOOKUP(G114,'3-Productie normen'!A:K,VLOOKUP(S114,'3-Productie normen'!L:N,3,FALSE),FALSE)))</f>
        <v>0</v>
      </c>
      <c r="V114" s="162">
        <f>VLOOKUP(G114,'3-Productie normen'!A:K,10,FALSE)</f>
        <v>865.11000061035156</v>
      </c>
      <c r="W114" s="163">
        <f>VLOOKUP(G114,'3-Productie normen'!A:K,11,FALSE)</f>
        <v>0</v>
      </c>
      <c r="X114" s="163"/>
      <c r="Z114" s="129">
        <f t="shared" si="6"/>
        <v>2880</v>
      </c>
    </row>
    <row r="115" spans="1:26" ht="14.1" customHeight="1">
      <c r="A115" s="144">
        <v>121</v>
      </c>
      <c r="B115" s="485" t="s">
        <v>229</v>
      </c>
      <c r="C115" s="159" t="s">
        <v>427</v>
      </c>
      <c r="D115" s="132" t="s">
        <v>374</v>
      </c>
      <c r="E115" s="702" t="s">
        <v>354</v>
      </c>
      <c r="F115" s="126" t="s">
        <v>316</v>
      </c>
      <c r="G115" s="460" t="s">
        <v>881</v>
      </c>
      <c r="H115" s="490" t="s">
        <v>102</v>
      </c>
      <c r="I115" s="582" t="str">
        <f>VLOOKUP(H115,'9a-Typen vloeren'!$A$10:$B$40,2,FALSE)</f>
        <v>n.v.t.</v>
      </c>
      <c r="J115" s="583">
        <v>12</v>
      </c>
      <c r="K115" s="433">
        <f t="shared" si="7"/>
        <v>0</v>
      </c>
      <c r="L115" s="433">
        <f t="shared" si="8"/>
        <v>0</v>
      </c>
      <c r="M115" s="433">
        <f t="shared" si="9"/>
        <v>0</v>
      </c>
      <c r="N115" s="672"/>
      <c r="O115" s="729">
        <f>IF(N115="",0,N115*K115/'9b-Vloeronderhoud'!$F$4)</f>
        <v>0</v>
      </c>
      <c r="P115" s="672"/>
      <c r="Q115" s="729" t="e">
        <f>IF(O115="",0,P115*L115/'9b-Vloeronderhoud'!$F$6)</f>
        <v>#DIV/0!</v>
      </c>
      <c r="R115" s="449">
        <v>1</v>
      </c>
      <c r="S115" s="672" t="s">
        <v>179</v>
      </c>
      <c r="T115" s="161">
        <f t="shared" si="5"/>
        <v>0</v>
      </c>
      <c r="U115" s="162">
        <f>IF(S115="nio",0,IF(S115&gt;0,VLOOKUP(G115,'3-Productie normen'!A:K,VLOOKUP(S115,'3-Productie normen'!L:N,3,FALSE),FALSE)))</f>
        <v>0</v>
      </c>
      <c r="V115" s="162">
        <f>VLOOKUP(G115,'3-Productie normen'!A:K,10,FALSE)</f>
        <v>5262.809993648526</v>
      </c>
      <c r="W115" s="163">
        <f>VLOOKUP(G115,'3-Productie normen'!A:K,11,FALSE)</f>
        <v>0</v>
      </c>
      <c r="X115" s="163"/>
      <c r="Z115" s="129">
        <f t="shared" si="6"/>
        <v>0</v>
      </c>
    </row>
    <row r="116" spans="1:26" ht="14.1" customHeight="1">
      <c r="A116" s="144">
        <v>122</v>
      </c>
      <c r="B116" s="485" t="s">
        <v>229</v>
      </c>
      <c r="C116" s="159" t="s">
        <v>427</v>
      </c>
      <c r="D116" s="132" t="s">
        <v>374</v>
      </c>
      <c r="E116" s="702" t="s">
        <v>355</v>
      </c>
      <c r="F116" s="126" t="s">
        <v>282</v>
      </c>
      <c r="G116" s="460" t="s">
        <v>881</v>
      </c>
      <c r="H116" s="490" t="s">
        <v>100</v>
      </c>
      <c r="I116" s="582" t="str">
        <f>VLOOKUP(H116,'9a-Typen vloeren'!$A$10:$B$40,2,FALSE)</f>
        <v>Sprayen/ conserveren</v>
      </c>
      <c r="J116" s="583">
        <v>8</v>
      </c>
      <c r="K116" s="433">
        <f t="shared" si="7"/>
        <v>0</v>
      </c>
      <c r="L116" s="433">
        <f t="shared" si="8"/>
        <v>0</v>
      </c>
      <c r="M116" s="433">
        <f t="shared" si="9"/>
        <v>0</v>
      </c>
      <c r="N116" s="672"/>
      <c r="O116" s="729">
        <f>IF(N116="",0,N116*K116/'9b-Vloeronderhoud'!$F$4)</f>
        <v>0</v>
      </c>
      <c r="P116" s="672"/>
      <c r="Q116" s="729" t="e">
        <f>IF(O116="",0,P116*L116/'9b-Vloeronderhoud'!$F$6)</f>
        <v>#DIV/0!</v>
      </c>
      <c r="R116" s="449">
        <v>1</v>
      </c>
      <c r="S116" s="672" t="s">
        <v>179</v>
      </c>
      <c r="T116" s="161">
        <f t="shared" si="5"/>
        <v>0</v>
      </c>
      <c r="U116" s="162">
        <f>IF(S116="nio",0,IF(S116&gt;0,VLOOKUP(G116,'3-Productie normen'!A:K,VLOOKUP(S116,'3-Productie normen'!L:N,3,FALSE),FALSE)))</f>
        <v>0</v>
      </c>
      <c r="V116" s="162">
        <f>VLOOKUP(G116,'3-Productie normen'!A:K,10,FALSE)</f>
        <v>5262.809993648526</v>
      </c>
      <c r="W116" s="163">
        <f>VLOOKUP(G116,'3-Productie normen'!A:K,11,FALSE)</f>
        <v>0</v>
      </c>
      <c r="X116" s="163"/>
      <c r="Z116" s="129">
        <f t="shared" si="6"/>
        <v>0</v>
      </c>
    </row>
    <row r="117" spans="1:26" ht="14.1" customHeight="1">
      <c r="A117" s="144">
        <v>123</v>
      </c>
      <c r="B117" s="485" t="s">
        <v>229</v>
      </c>
      <c r="C117" s="159" t="s">
        <v>427</v>
      </c>
      <c r="D117" s="132" t="s">
        <v>374</v>
      </c>
      <c r="E117" s="702" t="s">
        <v>356</v>
      </c>
      <c r="F117" s="126" t="s">
        <v>282</v>
      </c>
      <c r="G117" s="460" t="s">
        <v>881</v>
      </c>
      <c r="H117" s="490" t="s">
        <v>100</v>
      </c>
      <c r="I117" s="582" t="str">
        <f>VLOOKUP(H117,'9a-Typen vloeren'!$A$10:$B$40,2,FALSE)</f>
        <v>Sprayen/ conserveren</v>
      </c>
      <c r="J117" s="583">
        <v>8</v>
      </c>
      <c r="K117" s="433">
        <f t="shared" si="7"/>
        <v>0</v>
      </c>
      <c r="L117" s="433">
        <f t="shared" si="8"/>
        <v>0</v>
      </c>
      <c r="M117" s="433">
        <f t="shared" si="9"/>
        <v>0</v>
      </c>
      <c r="N117" s="672"/>
      <c r="O117" s="729">
        <f>IF(N117="",0,N117*K117/'9b-Vloeronderhoud'!$F$4)</f>
        <v>0</v>
      </c>
      <c r="P117" s="672"/>
      <c r="Q117" s="729" t="e">
        <f>IF(O117="",0,P117*L117/'9b-Vloeronderhoud'!$F$6)</f>
        <v>#DIV/0!</v>
      </c>
      <c r="R117" s="449">
        <v>1</v>
      </c>
      <c r="S117" s="672" t="s">
        <v>179</v>
      </c>
      <c r="T117" s="161">
        <f t="shared" si="5"/>
        <v>0</v>
      </c>
      <c r="U117" s="162">
        <f>IF(S117="nio",0,IF(S117&gt;0,VLOOKUP(G117,'3-Productie normen'!A:K,VLOOKUP(S117,'3-Productie normen'!L:N,3,FALSE),FALSE)))</f>
        <v>0</v>
      </c>
      <c r="V117" s="162">
        <f>VLOOKUP(G117,'3-Productie normen'!A:K,10,FALSE)</f>
        <v>5262.809993648526</v>
      </c>
      <c r="W117" s="163">
        <f>VLOOKUP(G117,'3-Productie normen'!A:K,11,FALSE)</f>
        <v>0</v>
      </c>
      <c r="X117" s="163"/>
      <c r="Z117" s="129">
        <f t="shared" si="6"/>
        <v>0</v>
      </c>
    </row>
    <row r="118" spans="1:26" ht="14.1" customHeight="1">
      <c r="A118" s="144">
        <v>124</v>
      </c>
      <c r="B118" s="485" t="s">
        <v>229</v>
      </c>
      <c r="C118" s="159" t="s">
        <v>427</v>
      </c>
      <c r="D118" s="132" t="s">
        <v>374</v>
      </c>
      <c r="E118" s="702" t="s">
        <v>357</v>
      </c>
      <c r="F118" s="126" t="s">
        <v>283</v>
      </c>
      <c r="G118" s="122" t="s">
        <v>286</v>
      </c>
      <c r="H118" s="490" t="s">
        <v>100</v>
      </c>
      <c r="I118" s="582" t="str">
        <f>VLOOKUP(H118,'9a-Typen vloeren'!$A$10:$B$40,2,FALSE)</f>
        <v>Sprayen/ conserveren</v>
      </c>
      <c r="J118" s="583">
        <v>31</v>
      </c>
      <c r="K118" s="433">
        <f t="shared" si="7"/>
        <v>31</v>
      </c>
      <c r="L118" s="433">
        <f t="shared" si="8"/>
        <v>0</v>
      </c>
      <c r="M118" s="433">
        <f t="shared" si="9"/>
        <v>0</v>
      </c>
      <c r="N118" s="672">
        <v>2</v>
      </c>
      <c r="O118" s="729" t="e">
        <f>IF(N118="",0,N118*K118/'9b-Vloeronderhoud'!$F$4)</f>
        <v>#DIV/0!</v>
      </c>
      <c r="P118" s="672"/>
      <c r="Q118" s="729" t="e">
        <f>IF(O118="",0,P118*L118/'9b-Vloeronderhoud'!$F$6)</f>
        <v>#DIV/0!</v>
      </c>
      <c r="R118" s="449">
        <v>1</v>
      </c>
      <c r="S118" s="672">
        <v>120</v>
      </c>
      <c r="T118" s="161" t="e">
        <f t="shared" si="5"/>
        <v>#DIV/0!</v>
      </c>
      <c r="U118" s="162">
        <f>IF(S118="nio",0,IF(S118&gt;0,VLOOKUP(G118,'3-Productie normen'!A:K,VLOOKUP(S118,'3-Productie normen'!L:N,3,FALSE),FALSE)))</f>
        <v>0</v>
      </c>
      <c r="V118" s="162">
        <f>VLOOKUP(G118,'3-Productie normen'!A:K,10,FALSE)</f>
        <v>6152.9500017547598</v>
      </c>
      <c r="W118" s="163">
        <f>VLOOKUP(G118,'3-Productie normen'!A:K,11,FALSE)</f>
        <v>0</v>
      </c>
      <c r="X118" s="163"/>
      <c r="Z118" s="129">
        <f t="shared" si="6"/>
        <v>3720</v>
      </c>
    </row>
    <row r="119" spans="1:26" ht="14.1" customHeight="1">
      <c r="A119" s="144">
        <v>125</v>
      </c>
      <c r="B119" s="485" t="s">
        <v>229</v>
      </c>
      <c r="C119" s="159" t="s">
        <v>427</v>
      </c>
      <c r="D119" s="132" t="s">
        <v>374</v>
      </c>
      <c r="E119" s="702" t="s">
        <v>358</v>
      </c>
      <c r="F119" s="126" t="s">
        <v>283</v>
      </c>
      <c r="G119" s="122" t="s">
        <v>286</v>
      </c>
      <c r="H119" s="490" t="s">
        <v>100</v>
      </c>
      <c r="I119" s="582" t="str">
        <f>VLOOKUP(H119,'9a-Typen vloeren'!$A$10:$B$40,2,FALSE)</f>
        <v>Sprayen/ conserveren</v>
      </c>
      <c r="J119" s="583">
        <v>14</v>
      </c>
      <c r="K119" s="433">
        <f t="shared" si="7"/>
        <v>14</v>
      </c>
      <c r="L119" s="433">
        <f t="shared" si="8"/>
        <v>0</v>
      </c>
      <c r="M119" s="433">
        <f t="shared" si="9"/>
        <v>0</v>
      </c>
      <c r="N119" s="672">
        <v>2</v>
      </c>
      <c r="O119" s="729" t="e">
        <f>IF(N119="",0,N119*K119/'9b-Vloeronderhoud'!$F$4)</f>
        <v>#DIV/0!</v>
      </c>
      <c r="P119" s="672"/>
      <c r="Q119" s="729" t="e">
        <f>IF(O119="",0,P119*L119/'9b-Vloeronderhoud'!$F$6)</f>
        <v>#DIV/0!</v>
      </c>
      <c r="R119" s="449">
        <v>1</v>
      </c>
      <c r="S119" s="672">
        <v>120</v>
      </c>
      <c r="T119" s="161" t="e">
        <f t="shared" si="5"/>
        <v>#DIV/0!</v>
      </c>
      <c r="U119" s="162">
        <f>IF(S119="nio",0,IF(S119&gt;0,VLOOKUP(G119,'3-Productie normen'!A:K,VLOOKUP(S119,'3-Productie normen'!L:N,3,FALSE),FALSE)))</f>
        <v>0</v>
      </c>
      <c r="V119" s="162">
        <f>VLOOKUP(G119,'3-Productie normen'!A:K,10,FALSE)</f>
        <v>6152.9500017547598</v>
      </c>
      <c r="W119" s="163">
        <f>VLOOKUP(G119,'3-Productie normen'!A:K,11,FALSE)</f>
        <v>0</v>
      </c>
      <c r="X119" s="163"/>
      <c r="Z119" s="129">
        <f t="shared" si="6"/>
        <v>1680</v>
      </c>
    </row>
    <row r="120" spans="1:26" ht="14.1" customHeight="1">
      <c r="A120" s="144">
        <v>126</v>
      </c>
      <c r="B120" s="485" t="s">
        <v>229</v>
      </c>
      <c r="C120" s="159" t="s">
        <v>427</v>
      </c>
      <c r="D120" s="132" t="s">
        <v>374</v>
      </c>
      <c r="E120" s="702" t="s">
        <v>359</v>
      </c>
      <c r="F120" s="126" t="s">
        <v>360</v>
      </c>
      <c r="G120" s="460" t="s">
        <v>881</v>
      </c>
      <c r="H120" s="490" t="s">
        <v>101</v>
      </c>
      <c r="I120" s="582" t="str">
        <f>VLOOKUP(H120,'9a-Typen vloeren'!$A$10:$B$40,2,FALSE)</f>
        <v>Schrobben</v>
      </c>
      <c r="J120" s="583">
        <v>35</v>
      </c>
      <c r="K120" s="433">
        <f t="shared" si="7"/>
        <v>0</v>
      </c>
      <c r="L120" s="433">
        <f t="shared" si="8"/>
        <v>0</v>
      </c>
      <c r="M120" s="433">
        <f t="shared" si="9"/>
        <v>0</v>
      </c>
      <c r="N120" s="672"/>
      <c r="O120" s="729">
        <f>IF(N120="",0,N120*K120/'9b-Vloeronderhoud'!$F$4)</f>
        <v>0</v>
      </c>
      <c r="P120" s="672"/>
      <c r="Q120" s="729" t="e">
        <f>IF(O120="",0,P120*L120/'9b-Vloeronderhoud'!$F$6)</f>
        <v>#DIV/0!</v>
      </c>
      <c r="R120" s="449">
        <v>1</v>
      </c>
      <c r="S120" s="672" t="s">
        <v>179</v>
      </c>
      <c r="T120" s="161">
        <f t="shared" si="5"/>
        <v>0</v>
      </c>
      <c r="U120" s="162">
        <f>IF(S120="nio",0,IF(S120&gt;0,VLOOKUP(G120,'3-Productie normen'!A:K,VLOOKUP(S120,'3-Productie normen'!L:N,3,FALSE),FALSE)))</f>
        <v>0</v>
      </c>
      <c r="V120" s="162">
        <f>VLOOKUP(G120,'3-Productie normen'!A:K,10,FALSE)</f>
        <v>5262.809993648526</v>
      </c>
      <c r="W120" s="163">
        <f>VLOOKUP(G120,'3-Productie normen'!A:K,11,FALSE)</f>
        <v>0</v>
      </c>
      <c r="X120" s="163"/>
      <c r="Z120" s="129">
        <f t="shared" si="6"/>
        <v>0</v>
      </c>
    </row>
    <row r="121" spans="1:26" ht="14.1" customHeight="1">
      <c r="A121" s="144">
        <v>127</v>
      </c>
      <c r="B121" s="485" t="s">
        <v>229</v>
      </c>
      <c r="C121" s="159" t="s">
        <v>427</v>
      </c>
      <c r="D121" s="132" t="s">
        <v>374</v>
      </c>
      <c r="E121" s="702" t="s">
        <v>361</v>
      </c>
      <c r="F121" s="126" t="s">
        <v>362</v>
      </c>
      <c r="G121" s="460" t="s">
        <v>221</v>
      </c>
      <c r="H121" s="303" t="s">
        <v>332</v>
      </c>
      <c r="I121" s="582" t="str">
        <f>VLOOKUP(H121,'9a-Typen vloeren'!$A$10:$B$40,2,FALSE)</f>
        <v>Sproei/extraheren</v>
      </c>
      <c r="J121" s="433">
        <v>29</v>
      </c>
      <c r="K121" s="433">
        <f t="shared" si="7"/>
        <v>0</v>
      </c>
      <c r="L121" s="433">
        <f t="shared" si="8"/>
        <v>0</v>
      </c>
      <c r="M121" s="433">
        <f t="shared" si="9"/>
        <v>29</v>
      </c>
      <c r="N121" s="672"/>
      <c r="O121" s="729">
        <f>IF(N121="",0,N121*K121/'9b-Vloeronderhoud'!$F$4)</f>
        <v>0</v>
      </c>
      <c r="P121" s="672"/>
      <c r="Q121" s="729" t="e">
        <f>IF(O121="",0,P121*L121/'9b-Vloeronderhoud'!$F$6)</f>
        <v>#DIV/0!</v>
      </c>
      <c r="R121" s="449">
        <v>1</v>
      </c>
      <c r="S121" s="672">
        <v>80</v>
      </c>
      <c r="T121" s="161" t="e">
        <f t="shared" si="5"/>
        <v>#DIV/0!</v>
      </c>
      <c r="U121" s="162">
        <f>IF(S121="nio",0,IF(S121&gt;0,VLOOKUP(G121,'3-Productie normen'!A:K,VLOOKUP(S121,'3-Productie normen'!L:N,3,FALSE),FALSE)))</f>
        <v>0</v>
      </c>
      <c r="V121" s="162">
        <f>VLOOKUP(G121,'3-Productie normen'!A:K,10,FALSE)</f>
        <v>16013.110036668773</v>
      </c>
      <c r="W121" s="163">
        <f>VLOOKUP(G121,'3-Productie normen'!A:K,11,FALSE)</f>
        <v>0</v>
      </c>
      <c r="X121" s="163"/>
      <c r="Z121" s="129">
        <f t="shared" si="6"/>
        <v>2320</v>
      </c>
    </row>
    <row r="122" spans="1:26" ht="14.1" customHeight="1">
      <c r="A122" s="144">
        <v>128</v>
      </c>
      <c r="B122" s="485" t="s">
        <v>229</v>
      </c>
      <c r="C122" s="159" t="s">
        <v>427</v>
      </c>
      <c r="D122" s="132" t="s">
        <v>374</v>
      </c>
      <c r="E122" s="702" t="s">
        <v>363</v>
      </c>
      <c r="F122" s="126" t="s">
        <v>221</v>
      </c>
      <c r="G122" s="126" t="s">
        <v>221</v>
      </c>
      <c r="H122" s="303" t="s">
        <v>332</v>
      </c>
      <c r="I122" s="582" t="str">
        <f>VLOOKUP(H122,'9a-Typen vloeren'!$A$10:$B$40,2,FALSE)</f>
        <v>Sproei/extraheren</v>
      </c>
      <c r="J122" s="433">
        <v>61</v>
      </c>
      <c r="K122" s="433">
        <f t="shared" si="7"/>
        <v>0</v>
      </c>
      <c r="L122" s="433">
        <f t="shared" si="8"/>
        <v>0</v>
      </c>
      <c r="M122" s="433">
        <f t="shared" si="9"/>
        <v>61</v>
      </c>
      <c r="N122" s="672"/>
      <c r="O122" s="729">
        <f>IF(N122="",0,N122*K122/'9b-Vloeronderhoud'!$F$4)</f>
        <v>0</v>
      </c>
      <c r="P122" s="672"/>
      <c r="Q122" s="729" t="e">
        <f>IF(O122="",0,P122*L122/'9b-Vloeronderhoud'!$F$6)</f>
        <v>#DIV/0!</v>
      </c>
      <c r="R122" s="449">
        <v>1</v>
      </c>
      <c r="S122" s="672">
        <v>80</v>
      </c>
      <c r="T122" s="161" t="e">
        <f t="shared" si="5"/>
        <v>#DIV/0!</v>
      </c>
      <c r="U122" s="162">
        <f>IF(S122="nio",0,IF(S122&gt;0,VLOOKUP(G122,'3-Productie normen'!A:K,VLOOKUP(S122,'3-Productie normen'!L:N,3,FALSE),FALSE)))</f>
        <v>0</v>
      </c>
      <c r="V122" s="162">
        <f>VLOOKUP(G122,'3-Productie normen'!A:K,10,FALSE)</f>
        <v>16013.110036668773</v>
      </c>
      <c r="W122" s="163">
        <f>VLOOKUP(G122,'3-Productie normen'!A:K,11,FALSE)</f>
        <v>0</v>
      </c>
      <c r="X122" s="163"/>
      <c r="Z122" s="129">
        <f t="shared" si="6"/>
        <v>4880</v>
      </c>
    </row>
    <row r="123" spans="1:26" ht="14.1" customHeight="1">
      <c r="A123" s="144">
        <v>129</v>
      </c>
      <c r="B123" s="485" t="s">
        <v>229</v>
      </c>
      <c r="C123" s="159" t="s">
        <v>427</v>
      </c>
      <c r="D123" s="132" t="s">
        <v>374</v>
      </c>
      <c r="E123" s="702" t="s">
        <v>364</v>
      </c>
      <c r="F123" s="126" t="s">
        <v>365</v>
      </c>
      <c r="G123" s="460" t="s">
        <v>221</v>
      </c>
      <c r="H123" s="303" t="s">
        <v>332</v>
      </c>
      <c r="I123" s="582" t="str">
        <f>VLOOKUP(H123,'9a-Typen vloeren'!$A$10:$B$40,2,FALSE)</f>
        <v>Sproei/extraheren</v>
      </c>
      <c r="J123" s="433">
        <v>14</v>
      </c>
      <c r="K123" s="433">
        <f t="shared" si="7"/>
        <v>0</v>
      </c>
      <c r="L123" s="433">
        <f t="shared" si="8"/>
        <v>0</v>
      </c>
      <c r="M123" s="433">
        <f t="shared" si="9"/>
        <v>14</v>
      </c>
      <c r="N123" s="672"/>
      <c r="O123" s="729">
        <f>IF(N123="",0,N123*K123/'9b-Vloeronderhoud'!$F$4)</f>
        <v>0</v>
      </c>
      <c r="P123" s="672"/>
      <c r="Q123" s="729" t="e">
        <f>IF(O123="",0,P123*L123/'9b-Vloeronderhoud'!$F$6)</f>
        <v>#DIV/0!</v>
      </c>
      <c r="R123" s="449">
        <v>1</v>
      </c>
      <c r="S123" s="672">
        <v>80</v>
      </c>
      <c r="T123" s="161" t="e">
        <f t="shared" si="5"/>
        <v>#DIV/0!</v>
      </c>
      <c r="U123" s="162">
        <f>IF(S123="nio",0,IF(S123&gt;0,VLOOKUP(G123,'3-Productie normen'!A:K,VLOOKUP(S123,'3-Productie normen'!L:N,3,FALSE),FALSE)))</f>
        <v>0</v>
      </c>
      <c r="V123" s="162">
        <f>VLOOKUP(G123,'3-Productie normen'!A:K,10,FALSE)</f>
        <v>16013.110036668773</v>
      </c>
      <c r="W123" s="163">
        <f>VLOOKUP(G123,'3-Productie normen'!A:K,11,FALSE)</f>
        <v>0</v>
      </c>
      <c r="X123" s="163"/>
      <c r="Z123" s="129">
        <f t="shared" si="6"/>
        <v>1120</v>
      </c>
    </row>
    <row r="124" spans="1:26" ht="14.1" customHeight="1">
      <c r="A124" s="144">
        <v>130</v>
      </c>
      <c r="B124" s="485" t="s">
        <v>229</v>
      </c>
      <c r="C124" s="159" t="s">
        <v>427</v>
      </c>
      <c r="D124" s="132" t="s">
        <v>374</v>
      </c>
      <c r="E124" s="702" t="s">
        <v>366</v>
      </c>
      <c r="F124" s="126" t="s">
        <v>302</v>
      </c>
      <c r="G124" s="460" t="s">
        <v>18</v>
      </c>
      <c r="H124" s="303" t="s">
        <v>955</v>
      </c>
      <c r="I124" s="582" t="str">
        <f>VLOOKUP(H124,'9a-Typen vloeren'!$A$10:$B$40,2,FALSE)</f>
        <v>zie kwaliteitsontwerp</v>
      </c>
      <c r="J124" s="584">
        <v>9</v>
      </c>
      <c r="K124" s="433">
        <f t="shared" si="7"/>
        <v>0</v>
      </c>
      <c r="L124" s="433">
        <f t="shared" si="8"/>
        <v>0</v>
      </c>
      <c r="M124" s="433">
        <f t="shared" si="9"/>
        <v>0</v>
      </c>
      <c r="N124" s="672"/>
      <c r="O124" s="729">
        <f>IF(N124="",0,N124*K124/'9b-Vloeronderhoud'!$F$4)</f>
        <v>0</v>
      </c>
      <c r="P124" s="672"/>
      <c r="Q124" s="729" t="e">
        <f>IF(O124="",0,P124*L124/'9b-Vloeronderhoud'!$F$6)</f>
        <v>#DIV/0!</v>
      </c>
      <c r="R124" s="449">
        <v>1</v>
      </c>
      <c r="S124" s="672">
        <v>190</v>
      </c>
      <c r="T124" s="161" t="e">
        <f t="shared" si="5"/>
        <v>#DIV/0!</v>
      </c>
      <c r="U124" s="162">
        <f>IF(S124="nio",0,IF(S124&gt;0,VLOOKUP(G124,'3-Productie normen'!A:K,VLOOKUP(S124,'3-Productie normen'!L:N,3,FALSE),FALSE)))</f>
        <v>0</v>
      </c>
      <c r="V124" s="162">
        <f>VLOOKUP(G124,'3-Productie normen'!A:K,10,FALSE)</f>
        <v>1859.5880019121171</v>
      </c>
      <c r="W124" s="163">
        <f>VLOOKUP(G124,'3-Productie normen'!A:K,11,FALSE)</f>
        <v>0</v>
      </c>
      <c r="X124" s="163"/>
      <c r="Z124" s="129">
        <f t="shared" si="6"/>
        <v>1710</v>
      </c>
    </row>
    <row r="125" spans="1:26" ht="14.1" customHeight="1">
      <c r="A125" s="144">
        <v>131</v>
      </c>
      <c r="B125" s="485" t="s">
        <v>229</v>
      </c>
      <c r="C125" s="159" t="s">
        <v>427</v>
      </c>
      <c r="D125" s="132" t="s">
        <v>374</v>
      </c>
      <c r="E125" s="702" t="s">
        <v>367</v>
      </c>
      <c r="F125" s="126" t="s">
        <v>221</v>
      </c>
      <c r="G125" s="122" t="s">
        <v>221</v>
      </c>
      <c r="H125" s="303" t="s">
        <v>332</v>
      </c>
      <c r="I125" s="582" t="str">
        <f>VLOOKUP(H125,'9a-Typen vloeren'!$A$10:$B$40,2,FALSE)</f>
        <v>Sproei/extraheren</v>
      </c>
      <c r="J125" s="584">
        <v>62</v>
      </c>
      <c r="K125" s="433">
        <f t="shared" si="7"/>
        <v>0</v>
      </c>
      <c r="L125" s="433">
        <f t="shared" si="8"/>
        <v>0</v>
      </c>
      <c r="M125" s="433">
        <f t="shared" si="9"/>
        <v>62</v>
      </c>
      <c r="N125" s="672"/>
      <c r="O125" s="729">
        <f>IF(N125="",0,N125*K125/'9b-Vloeronderhoud'!$F$4)</f>
        <v>0</v>
      </c>
      <c r="P125" s="672"/>
      <c r="Q125" s="729" t="e">
        <f>IF(O125="",0,P125*L125/'9b-Vloeronderhoud'!$F$6)</f>
        <v>#DIV/0!</v>
      </c>
      <c r="R125" s="449">
        <v>1</v>
      </c>
      <c r="S125" s="688" t="s">
        <v>179</v>
      </c>
      <c r="T125" s="161">
        <f t="shared" si="5"/>
        <v>0</v>
      </c>
      <c r="U125" s="162">
        <f>IF(S125="nio",0,IF(S125&gt;0,VLOOKUP(G125,'3-Productie normen'!A:K,VLOOKUP(S125,'3-Productie normen'!L:N,3,FALSE),FALSE)))</f>
        <v>0</v>
      </c>
      <c r="V125" s="162">
        <f>VLOOKUP(G125,'3-Productie normen'!A:K,10,FALSE)</f>
        <v>16013.110036668773</v>
      </c>
      <c r="W125" s="163">
        <f>VLOOKUP(G125,'3-Productie normen'!A:K,11,FALSE)</f>
        <v>0</v>
      </c>
      <c r="X125" s="163"/>
      <c r="Z125" s="129">
        <f t="shared" si="6"/>
        <v>0</v>
      </c>
    </row>
    <row r="126" spans="1:26" ht="14.1" customHeight="1">
      <c r="A126" s="144">
        <v>132</v>
      </c>
      <c r="B126" s="485" t="s">
        <v>229</v>
      </c>
      <c r="C126" s="159" t="s">
        <v>427</v>
      </c>
      <c r="D126" s="132" t="s">
        <v>374</v>
      </c>
      <c r="E126" s="702" t="s">
        <v>368</v>
      </c>
      <c r="F126" s="126" t="s">
        <v>221</v>
      </c>
      <c r="G126" s="122" t="s">
        <v>221</v>
      </c>
      <c r="H126" s="303" t="s">
        <v>332</v>
      </c>
      <c r="I126" s="582" t="str">
        <f>VLOOKUP(H126,'9a-Typen vloeren'!$A$10:$B$40,2,FALSE)</f>
        <v>Sproei/extraheren</v>
      </c>
      <c r="J126" s="584">
        <v>67</v>
      </c>
      <c r="K126" s="433">
        <f t="shared" si="7"/>
        <v>0</v>
      </c>
      <c r="L126" s="433">
        <f t="shared" si="8"/>
        <v>0</v>
      </c>
      <c r="M126" s="433">
        <f t="shared" si="9"/>
        <v>67</v>
      </c>
      <c r="N126" s="672"/>
      <c r="O126" s="729">
        <f>IF(N126="",0,N126*K126/'9b-Vloeronderhoud'!$F$4)</f>
        <v>0</v>
      </c>
      <c r="P126" s="672"/>
      <c r="Q126" s="729" t="e">
        <f>IF(O126="",0,P126*L126/'9b-Vloeronderhoud'!$F$6)</f>
        <v>#DIV/0!</v>
      </c>
      <c r="R126" s="449">
        <v>1</v>
      </c>
      <c r="S126" s="688" t="s">
        <v>179</v>
      </c>
      <c r="T126" s="161">
        <f t="shared" si="5"/>
        <v>0</v>
      </c>
      <c r="U126" s="162">
        <f>IF(S126="nio",0,IF(S126&gt;0,VLOOKUP(G126,'3-Productie normen'!A:K,VLOOKUP(S126,'3-Productie normen'!L:N,3,FALSE),FALSE)))</f>
        <v>0</v>
      </c>
      <c r="V126" s="162">
        <f>VLOOKUP(G126,'3-Productie normen'!A:K,10,FALSE)</f>
        <v>16013.110036668773</v>
      </c>
      <c r="W126" s="163">
        <f>VLOOKUP(G126,'3-Productie normen'!A:K,11,FALSE)</f>
        <v>0</v>
      </c>
      <c r="X126" s="163"/>
      <c r="Z126" s="129">
        <f t="shared" si="6"/>
        <v>0</v>
      </c>
    </row>
    <row r="127" spans="1:26" ht="14.1" customHeight="1">
      <c r="A127" s="144">
        <v>133</v>
      </c>
      <c r="B127" s="485" t="s">
        <v>229</v>
      </c>
      <c r="C127" s="159" t="s">
        <v>427</v>
      </c>
      <c r="D127" s="132" t="s">
        <v>374</v>
      </c>
      <c r="E127" s="702" t="s">
        <v>369</v>
      </c>
      <c r="F127" s="126" t="s">
        <v>365</v>
      </c>
      <c r="G127" s="122" t="s">
        <v>221</v>
      </c>
      <c r="H127" s="303" t="s">
        <v>332</v>
      </c>
      <c r="I127" s="582" t="str">
        <f>VLOOKUP(H127,'9a-Typen vloeren'!$A$10:$B$40,2,FALSE)</f>
        <v>Sproei/extraheren</v>
      </c>
      <c r="J127" s="584">
        <v>12</v>
      </c>
      <c r="K127" s="433">
        <f t="shared" si="7"/>
        <v>0</v>
      </c>
      <c r="L127" s="433">
        <f t="shared" si="8"/>
        <v>0</v>
      </c>
      <c r="M127" s="433">
        <f t="shared" si="9"/>
        <v>12</v>
      </c>
      <c r="N127" s="672"/>
      <c r="O127" s="729">
        <f>IF(N127="",0,N127*K127/'9b-Vloeronderhoud'!$F$4)</f>
        <v>0</v>
      </c>
      <c r="P127" s="672"/>
      <c r="Q127" s="729" t="e">
        <f>IF(O127="",0,P127*L127/'9b-Vloeronderhoud'!$F$6)</f>
        <v>#DIV/0!</v>
      </c>
      <c r="R127" s="449">
        <v>1</v>
      </c>
      <c r="S127" s="672">
        <v>80</v>
      </c>
      <c r="T127" s="161" t="e">
        <f t="shared" si="5"/>
        <v>#DIV/0!</v>
      </c>
      <c r="U127" s="162">
        <f>IF(S127="nio",0,IF(S127&gt;0,VLOOKUP(G127,'3-Productie normen'!A:K,VLOOKUP(S127,'3-Productie normen'!L:N,3,FALSE),FALSE)))</f>
        <v>0</v>
      </c>
      <c r="V127" s="162">
        <f>VLOOKUP(G127,'3-Productie normen'!A:K,10,FALSE)</f>
        <v>16013.110036668773</v>
      </c>
      <c r="W127" s="163">
        <f>VLOOKUP(G127,'3-Productie normen'!A:K,11,FALSE)</f>
        <v>0</v>
      </c>
      <c r="X127" s="163"/>
      <c r="Z127" s="129">
        <f t="shared" si="6"/>
        <v>960</v>
      </c>
    </row>
    <row r="128" spans="1:26" ht="14.1" customHeight="1">
      <c r="A128" s="144">
        <v>134</v>
      </c>
      <c r="B128" s="485" t="s">
        <v>229</v>
      </c>
      <c r="C128" s="159" t="s">
        <v>427</v>
      </c>
      <c r="D128" s="132" t="s">
        <v>374</v>
      </c>
      <c r="E128" s="702" t="s">
        <v>370</v>
      </c>
      <c r="F128" s="126" t="s">
        <v>302</v>
      </c>
      <c r="G128" s="460" t="s">
        <v>18</v>
      </c>
      <c r="H128" s="303" t="s">
        <v>955</v>
      </c>
      <c r="I128" s="582" t="str">
        <f>VLOOKUP(H128,'9a-Typen vloeren'!$A$10:$B$40,2,FALSE)</f>
        <v>zie kwaliteitsontwerp</v>
      </c>
      <c r="J128" s="584">
        <v>11</v>
      </c>
      <c r="K128" s="433">
        <f t="shared" si="7"/>
        <v>0</v>
      </c>
      <c r="L128" s="433">
        <f t="shared" si="8"/>
        <v>0</v>
      </c>
      <c r="M128" s="433">
        <f t="shared" si="9"/>
        <v>0</v>
      </c>
      <c r="N128" s="672"/>
      <c r="O128" s="729">
        <f>IF(N128="",0,N128*K128/'9b-Vloeronderhoud'!$F$4)</f>
        <v>0</v>
      </c>
      <c r="P128" s="672"/>
      <c r="Q128" s="729" t="e">
        <f>IF(O128="",0,P128*L128/'9b-Vloeronderhoud'!$F$6)</f>
        <v>#DIV/0!</v>
      </c>
      <c r="R128" s="449">
        <v>1</v>
      </c>
      <c r="S128" s="672">
        <v>190</v>
      </c>
      <c r="T128" s="161" t="e">
        <f t="shared" si="5"/>
        <v>#DIV/0!</v>
      </c>
      <c r="U128" s="162">
        <f>IF(S128="nio",0,IF(S128&gt;0,VLOOKUP(G128,'3-Productie normen'!A:K,VLOOKUP(S128,'3-Productie normen'!L:N,3,FALSE),FALSE)))</f>
        <v>0</v>
      </c>
      <c r="V128" s="162">
        <f>VLOOKUP(G128,'3-Productie normen'!A:K,10,FALSE)</f>
        <v>1859.5880019121171</v>
      </c>
      <c r="W128" s="163">
        <f>VLOOKUP(G128,'3-Productie normen'!A:K,11,FALSE)</f>
        <v>0</v>
      </c>
      <c r="X128" s="163"/>
      <c r="Z128" s="129">
        <f t="shared" si="6"/>
        <v>2090</v>
      </c>
    </row>
    <row r="129" spans="1:26" ht="14.1" customHeight="1">
      <c r="A129" s="144">
        <v>135</v>
      </c>
      <c r="B129" s="485" t="s">
        <v>229</v>
      </c>
      <c r="C129" s="159" t="s">
        <v>427</v>
      </c>
      <c r="D129" s="132" t="s">
        <v>374</v>
      </c>
      <c r="E129" s="702" t="s">
        <v>371</v>
      </c>
      <c r="F129" s="126" t="s">
        <v>281</v>
      </c>
      <c r="G129" s="460" t="s">
        <v>881</v>
      </c>
      <c r="H129" s="516" t="s">
        <v>100</v>
      </c>
      <c r="I129" s="582" t="str">
        <f>VLOOKUP(H129,'9a-Typen vloeren'!$A$10:$B$40,2,FALSE)</f>
        <v>Sprayen/ conserveren</v>
      </c>
      <c r="J129" s="584">
        <v>2</v>
      </c>
      <c r="K129" s="433">
        <f t="shared" si="7"/>
        <v>0</v>
      </c>
      <c r="L129" s="433">
        <f t="shared" si="8"/>
        <v>0</v>
      </c>
      <c r="M129" s="433">
        <f t="shared" si="9"/>
        <v>0</v>
      </c>
      <c r="N129" s="672"/>
      <c r="O129" s="729">
        <f>IF(N129="",0,N129*K129/'9b-Vloeronderhoud'!$F$4)</f>
        <v>0</v>
      </c>
      <c r="P129" s="672"/>
      <c r="Q129" s="729" t="e">
        <f>IF(O129="",0,P129*L129/'9b-Vloeronderhoud'!$F$6)</f>
        <v>#DIV/0!</v>
      </c>
      <c r="R129" s="449">
        <v>1</v>
      </c>
      <c r="S129" s="672" t="s">
        <v>179</v>
      </c>
      <c r="T129" s="161">
        <f t="shared" si="5"/>
        <v>0</v>
      </c>
      <c r="U129" s="162">
        <f>IF(S129="nio",0,IF(S129&gt;0,VLOOKUP(G129,'3-Productie normen'!A:K,VLOOKUP(S129,'3-Productie normen'!L:N,3,FALSE),FALSE)))</f>
        <v>0</v>
      </c>
      <c r="V129" s="162">
        <f>VLOOKUP(G129,'3-Productie normen'!A:K,10,FALSE)</f>
        <v>5262.809993648526</v>
      </c>
      <c r="W129" s="163">
        <f>VLOOKUP(G129,'3-Productie normen'!A:K,11,FALSE)</f>
        <v>0</v>
      </c>
      <c r="X129" s="163"/>
      <c r="Z129" s="129">
        <f t="shared" si="6"/>
        <v>0</v>
      </c>
    </row>
    <row r="130" spans="1:26" ht="14.1" customHeight="1">
      <c r="A130" s="144">
        <v>136</v>
      </c>
      <c r="B130" s="485" t="s">
        <v>229</v>
      </c>
      <c r="C130" s="159" t="s">
        <v>427</v>
      </c>
      <c r="D130" s="132" t="s">
        <v>374</v>
      </c>
      <c r="E130" s="702" t="s">
        <v>372</v>
      </c>
      <c r="F130" s="126" t="s">
        <v>373</v>
      </c>
      <c r="G130" s="533" t="s">
        <v>421</v>
      </c>
      <c r="H130" s="516" t="s">
        <v>100</v>
      </c>
      <c r="I130" s="582" t="str">
        <f>VLOOKUP(H130,'9a-Typen vloeren'!$A$10:$B$40,2,FALSE)</f>
        <v>Sprayen/ conserveren</v>
      </c>
      <c r="J130" s="584">
        <v>57</v>
      </c>
      <c r="K130" s="433">
        <f t="shared" si="7"/>
        <v>57</v>
      </c>
      <c r="L130" s="433">
        <f t="shared" si="8"/>
        <v>0</v>
      </c>
      <c r="M130" s="433">
        <f t="shared" si="9"/>
        <v>0</v>
      </c>
      <c r="N130" s="672"/>
      <c r="O130" s="729">
        <f>IF(N130="",0,N130*K130/'9b-Vloeronderhoud'!$F$4)</f>
        <v>0</v>
      </c>
      <c r="P130" s="672"/>
      <c r="Q130" s="729" t="e">
        <f>IF(O130="",0,P130*L130/'9b-Vloeronderhoud'!$F$6)</f>
        <v>#DIV/0!</v>
      </c>
      <c r="R130" s="449">
        <v>1</v>
      </c>
      <c r="S130" s="672">
        <v>40</v>
      </c>
      <c r="T130" s="161" t="e">
        <f t="shared" si="5"/>
        <v>#DIV/0!</v>
      </c>
      <c r="U130" s="162">
        <f>IF(S130="nio",0,IF(S130&gt;0,VLOOKUP(G130,'3-Productie normen'!A:K,VLOOKUP(S130,'3-Productie normen'!L:N,3,FALSE),FALSE)))</f>
        <v>0</v>
      </c>
      <c r="V130" s="162">
        <f>VLOOKUP(G130,'3-Productie normen'!A:K,10,FALSE)</f>
        <v>865.11000061035156</v>
      </c>
      <c r="W130" s="163">
        <f>VLOOKUP(G130,'3-Productie normen'!A:K,11,FALSE)</f>
        <v>0</v>
      </c>
      <c r="X130" s="163"/>
      <c r="Z130" s="129">
        <f t="shared" si="6"/>
        <v>2280</v>
      </c>
    </row>
    <row r="131" spans="1:26" ht="14.1" customHeight="1">
      <c r="A131" s="144">
        <v>137</v>
      </c>
      <c r="B131" s="485" t="s">
        <v>245</v>
      </c>
      <c r="C131" s="303" t="s">
        <v>707</v>
      </c>
      <c r="D131" s="304" t="s">
        <v>98</v>
      </c>
      <c r="E131" s="694" t="s">
        <v>294</v>
      </c>
      <c r="F131" s="303" t="s">
        <v>674</v>
      </c>
      <c r="G131" s="546" t="s">
        <v>18</v>
      </c>
      <c r="H131" s="303" t="s">
        <v>955</v>
      </c>
      <c r="I131" s="582" t="str">
        <f>VLOOKUP(H131,'9a-Typen vloeren'!$A$10:$B$40,2,FALSE)</f>
        <v>zie kwaliteitsontwerp</v>
      </c>
      <c r="J131" s="433">
        <v>16</v>
      </c>
      <c r="K131" s="433">
        <f t="shared" si="7"/>
        <v>0</v>
      </c>
      <c r="L131" s="433">
        <f t="shared" si="8"/>
        <v>0</v>
      </c>
      <c r="M131" s="433">
        <f t="shared" si="9"/>
        <v>0</v>
      </c>
      <c r="N131" s="672"/>
      <c r="O131" s="729">
        <f>IF(N131="",0,N131*K131/'9b-Vloeronderhoud'!$F$4)</f>
        <v>0</v>
      </c>
      <c r="P131" s="672"/>
      <c r="Q131" s="729" t="e">
        <f>IF(O131="",0,P131*L131/'9b-Vloeronderhoud'!$F$6)</f>
        <v>#DIV/0!</v>
      </c>
      <c r="R131" s="449">
        <v>1</v>
      </c>
      <c r="S131" s="672">
        <v>190</v>
      </c>
      <c r="T131" s="161" t="e">
        <f t="shared" si="5"/>
        <v>#DIV/0!</v>
      </c>
      <c r="U131" s="162">
        <f>IF(S131="nio",0,IF(S131&gt;0,VLOOKUP(G131,'3-Productie normen'!A:K,VLOOKUP(S131,'3-Productie normen'!L:N,3,FALSE),FALSE)))</f>
        <v>0</v>
      </c>
      <c r="V131" s="162">
        <f>VLOOKUP(G131,'3-Productie normen'!A:K,10,FALSE)</f>
        <v>1859.5880019121171</v>
      </c>
      <c r="W131" s="163">
        <f>VLOOKUP(G131,'3-Productie normen'!A:K,11,FALSE)</f>
        <v>0</v>
      </c>
      <c r="X131" s="163"/>
      <c r="Z131" s="129">
        <f t="shared" si="6"/>
        <v>3040</v>
      </c>
    </row>
    <row r="132" spans="1:26" ht="14.1" customHeight="1">
      <c r="A132" s="144">
        <v>138</v>
      </c>
      <c r="B132" s="485" t="s">
        <v>245</v>
      </c>
      <c r="C132" s="303" t="s">
        <v>707</v>
      </c>
      <c r="D132" s="304" t="s">
        <v>98</v>
      </c>
      <c r="E132" s="694" t="s">
        <v>295</v>
      </c>
      <c r="F132" s="303" t="s">
        <v>481</v>
      </c>
      <c r="G132" s="122" t="s">
        <v>287</v>
      </c>
      <c r="H132" s="516" t="s">
        <v>930</v>
      </c>
      <c r="I132" s="582" t="str">
        <f>VLOOKUP(H132,'9a-Typen vloeren'!$A$10:$B$40,2,FALSE)</f>
        <v>n.v.t.</v>
      </c>
      <c r="J132" s="433">
        <v>14</v>
      </c>
      <c r="K132" s="433">
        <f t="shared" si="7"/>
        <v>0</v>
      </c>
      <c r="L132" s="433">
        <f t="shared" si="8"/>
        <v>0</v>
      </c>
      <c r="M132" s="433">
        <f t="shared" si="9"/>
        <v>0</v>
      </c>
      <c r="N132" s="672"/>
      <c r="O132" s="729">
        <f>IF(N132="",0,N132*K132/'9b-Vloeronderhoud'!$F$4)</f>
        <v>0</v>
      </c>
      <c r="P132" s="672"/>
      <c r="Q132" s="729" t="e">
        <f>IF(O132="",0,P132*L132/'9b-Vloeronderhoud'!$F$6)</f>
        <v>#DIV/0!</v>
      </c>
      <c r="R132" s="449">
        <v>1</v>
      </c>
      <c r="S132" s="672">
        <v>80</v>
      </c>
      <c r="T132" s="161" t="e">
        <f t="shared" si="5"/>
        <v>#DIV/0!</v>
      </c>
      <c r="U132" s="162">
        <f>IF(S132="nio",0,IF(S132&gt;0,VLOOKUP(G132,'3-Productie normen'!A:K,VLOOKUP(S132,'3-Productie normen'!L:N,3,FALSE),FALSE)))</f>
        <v>0</v>
      </c>
      <c r="V132" s="162">
        <f>VLOOKUP(G132,'3-Productie normen'!A:K,10,FALSE)</f>
        <v>519.460002565384</v>
      </c>
      <c r="W132" s="163">
        <f>VLOOKUP(G132,'3-Productie normen'!A:K,11,FALSE)</f>
        <v>0</v>
      </c>
      <c r="X132" s="163"/>
      <c r="Z132" s="129">
        <f t="shared" si="6"/>
        <v>1120</v>
      </c>
    </row>
    <row r="133" spans="1:26" ht="14.1" customHeight="1">
      <c r="A133" s="144">
        <v>139</v>
      </c>
      <c r="B133" s="485" t="s">
        <v>245</v>
      </c>
      <c r="C133" s="303" t="s">
        <v>707</v>
      </c>
      <c r="D133" s="304" t="s">
        <v>98</v>
      </c>
      <c r="E133" s="694" t="s">
        <v>296</v>
      </c>
      <c r="F133" s="303" t="s">
        <v>221</v>
      </c>
      <c r="G133" s="122" t="s">
        <v>221</v>
      </c>
      <c r="H133" s="516" t="s">
        <v>335</v>
      </c>
      <c r="I133" s="582" t="str">
        <f>VLOOKUP(H133,'9a-Typen vloeren'!$A$10:$B$40,2,FALSE)</f>
        <v>Schrobben</v>
      </c>
      <c r="J133" s="433">
        <v>50.7</v>
      </c>
      <c r="K133" s="433">
        <f t="shared" ref="K133:K196" si="10">IF(G133="niet in onderhoud",0,IF(I133="sprayen/ conserveren",J133,0))</f>
        <v>0</v>
      </c>
      <c r="L133" s="433">
        <f t="shared" ref="L133:L196" si="11">IF(G133="niet in onderhoud",0,IF(I133="schrobben",J133,0))</f>
        <v>50.7</v>
      </c>
      <c r="M133" s="433">
        <f t="shared" ref="M133:M196" si="12">IF(G133="niet in onderhoud",0,IF(I133="Sproei/extraheren",J133,0))</f>
        <v>0</v>
      </c>
      <c r="N133" s="672"/>
      <c r="O133" s="729">
        <f>IF(N133="",0,N133*K133/'9b-Vloeronderhoud'!$F$4)</f>
        <v>0</v>
      </c>
      <c r="P133" s="672"/>
      <c r="Q133" s="729" t="e">
        <f>IF(O133="",0,P133*L133/'9b-Vloeronderhoud'!$F$6)</f>
        <v>#DIV/0!</v>
      </c>
      <c r="R133" s="449">
        <v>1</v>
      </c>
      <c r="S133" s="672">
        <v>80</v>
      </c>
      <c r="T133" s="161" t="e">
        <f t="shared" si="5"/>
        <v>#DIV/0!</v>
      </c>
      <c r="U133" s="162">
        <f>IF(S133="nio",0,IF(S133&gt;0,VLOOKUP(G133,'3-Productie normen'!A:K,VLOOKUP(S133,'3-Productie normen'!L:N,3,FALSE),FALSE)))</f>
        <v>0</v>
      </c>
      <c r="V133" s="162">
        <f>VLOOKUP(G133,'3-Productie normen'!A:K,10,FALSE)</f>
        <v>16013.110036668773</v>
      </c>
      <c r="W133" s="163">
        <f>VLOOKUP(G133,'3-Productie normen'!A:K,11,FALSE)</f>
        <v>0</v>
      </c>
      <c r="X133" s="163"/>
      <c r="Z133" s="129">
        <f t="shared" si="6"/>
        <v>4056</v>
      </c>
    </row>
    <row r="134" spans="1:26" ht="14.1" customHeight="1">
      <c r="A134" s="144">
        <v>140</v>
      </c>
      <c r="B134" s="485" t="s">
        <v>245</v>
      </c>
      <c r="C134" s="303" t="s">
        <v>707</v>
      </c>
      <c r="D134" s="304" t="s">
        <v>98</v>
      </c>
      <c r="E134" s="694" t="s">
        <v>675</v>
      </c>
      <c r="F134" s="303" t="s">
        <v>99</v>
      </c>
      <c r="G134" s="122" t="s">
        <v>99</v>
      </c>
      <c r="H134" s="516" t="s">
        <v>802</v>
      </c>
      <c r="I134" s="582" t="str">
        <f>VLOOKUP(H134,'9a-Typen vloeren'!$A$10:$B$40,2,FALSE)</f>
        <v>n.v.t.</v>
      </c>
      <c r="J134" s="433">
        <v>13.2</v>
      </c>
      <c r="K134" s="433">
        <f t="shared" si="10"/>
        <v>0</v>
      </c>
      <c r="L134" s="433">
        <f t="shared" si="11"/>
        <v>0</v>
      </c>
      <c r="M134" s="433">
        <f t="shared" si="12"/>
        <v>0</v>
      </c>
      <c r="N134" s="672"/>
      <c r="O134" s="729">
        <f>IF(N134="",0,N134*K134/'9b-Vloeronderhoud'!$F$4)</f>
        <v>0</v>
      </c>
      <c r="P134" s="672"/>
      <c r="Q134" s="729" t="e">
        <f>IF(O134="",0,P134*L134/'9b-Vloeronderhoud'!$F$6)</f>
        <v>#DIV/0!</v>
      </c>
      <c r="R134" s="449">
        <v>1</v>
      </c>
      <c r="S134" s="672">
        <v>190</v>
      </c>
      <c r="T134" s="161" t="e">
        <f t="shared" si="5"/>
        <v>#DIV/0!</v>
      </c>
      <c r="U134" s="162">
        <f>IF(S134="nio",0,IF(S134&gt;0,VLOOKUP(G134,'3-Productie normen'!A:K,VLOOKUP(S134,'3-Productie normen'!L:N,3,FALSE),FALSE)))</f>
        <v>0</v>
      </c>
      <c r="V134" s="162">
        <f>VLOOKUP(G134,'3-Productie normen'!A:K,10,FALSE)</f>
        <v>726.97999910354622</v>
      </c>
      <c r="W134" s="163">
        <f>VLOOKUP(G134,'3-Productie normen'!A:K,11,FALSE)</f>
        <v>0</v>
      </c>
      <c r="X134" s="163"/>
      <c r="Z134" s="129">
        <f t="shared" si="6"/>
        <v>2508</v>
      </c>
    </row>
    <row r="135" spans="1:26" ht="14.1" customHeight="1">
      <c r="A135" s="144">
        <v>141</v>
      </c>
      <c r="B135" s="485" t="s">
        <v>245</v>
      </c>
      <c r="C135" s="303" t="s">
        <v>707</v>
      </c>
      <c r="D135" s="304" t="s">
        <v>98</v>
      </c>
      <c r="E135" s="694" t="s">
        <v>676</v>
      </c>
      <c r="F135" s="494" t="s">
        <v>267</v>
      </c>
      <c r="G135" s="533" t="s">
        <v>18</v>
      </c>
      <c r="H135" s="303" t="s">
        <v>955</v>
      </c>
      <c r="I135" s="582" t="str">
        <f>VLOOKUP(H135,'9a-Typen vloeren'!$A$10:$B$40,2,FALSE)</f>
        <v>zie kwaliteitsontwerp</v>
      </c>
      <c r="J135" s="433">
        <v>6.7</v>
      </c>
      <c r="K135" s="433">
        <f t="shared" si="10"/>
        <v>0</v>
      </c>
      <c r="L135" s="433">
        <f t="shared" si="11"/>
        <v>0</v>
      </c>
      <c r="M135" s="433">
        <f t="shared" si="12"/>
        <v>0</v>
      </c>
      <c r="N135" s="672"/>
      <c r="O135" s="729">
        <f>IF(N135="",0,N135*K135/'9b-Vloeronderhoud'!$F$4)</f>
        <v>0</v>
      </c>
      <c r="P135" s="672"/>
      <c r="Q135" s="729" t="e">
        <f>IF(O135="",0,P135*L135/'9b-Vloeronderhoud'!$F$6)</f>
        <v>#DIV/0!</v>
      </c>
      <c r="R135" s="449">
        <v>1</v>
      </c>
      <c r="S135" s="672">
        <v>190</v>
      </c>
      <c r="T135" s="161" t="e">
        <f t="shared" si="5"/>
        <v>#DIV/0!</v>
      </c>
      <c r="U135" s="162">
        <f>IF(S135="nio",0,IF(S135&gt;0,VLOOKUP(G135,'3-Productie normen'!A:K,VLOOKUP(S135,'3-Productie normen'!L:N,3,FALSE),FALSE)))</f>
        <v>0</v>
      </c>
      <c r="V135" s="162">
        <f>VLOOKUP(G135,'3-Productie normen'!A:K,10,FALSE)</f>
        <v>1859.5880019121171</v>
      </c>
      <c r="W135" s="163">
        <f>VLOOKUP(G135,'3-Productie normen'!A:K,11,FALSE)</f>
        <v>0</v>
      </c>
      <c r="X135" s="163"/>
      <c r="Z135" s="129">
        <f t="shared" si="6"/>
        <v>1273</v>
      </c>
    </row>
    <row r="136" spans="1:26" ht="14.1" customHeight="1">
      <c r="A136" s="144">
        <v>142</v>
      </c>
      <c r="B136" s="485" t="s">
        <v>245</v>
      </c>
      <c r="C136" s="303" t="s">
        <v>707</v>
      </c>
      <c r="D136" s="304" t="s">
        <v>98</v>
      </c>
      <c r="E136" s="694" t="s">
        <v>677</v>
      </c>
      <c r="F136" s="303" t="s">
        <v>267</v>
      </c>
      <c r="G136" s="4" t="s">
        <v>18</v>
      </c>
      <c r="H136" s="303" t="s">
        <v>955</v>
      </c>
      <c r="I136" s="582" t="str">
        <f>VLOOKUP(H136,'9a-Typen vloeren'!$A$10:$B$40,2,FALSE)</f>
        <v>zie kwaliteitsontwerp</v>
      </c>
      <c r="J136" s="433">
        <v>6.5</v>
      </c>
      <c r="K136" s="433">
        <f t="shared" si="10"/>
        <v>0</v>
      </c>
      <c r="L136" s="433">
        <f t="shared" si="11"/>
        <v>0</v>
      </c>
      <c r="M136" s="433">
        <f t="shared" si="12"/>
        <v>0</v>
      </c>
      <c r="N136" s="672"/>
      <c r="O136" s="729">
        <f>IF(N136="",0,N136*K136/'9b-Vloeronderhoud'!$F$4)</f>
        <v>0</v>
      </c>
      <c r="P136" s="672"/>
      <c r="Q136" s="729" t="e">
        <f>IF(O136="",0,P136*L136/'9b-Vloeronderhoud'!$F$6)</f>
        <v>#DIV/0!</v>
      </c>
      <c r="R136" s="449">
        <v>1</v>
      </c>
      <c r="S136" s="672">
        <v>190</v>
      </c>
      <c r="T136" s="161" t="e">
        <f t="shared" si="5"/>
        <v>#DIV/0!</v>
      </c>
      <c r="U136" s="162">
        <f>IF(S136="nio",0,IF(S136&gt;0,VLOOKUP(G136,'3-Productie normen'!A:K,VLOOKUP(S136,'3-Productie normen'!L:N,3,FALSE),FALSE)))</f>
        <v>0</v>
      </c>
      <c r="V136" s="162">
        <f>VLOOKUP(G136,'3-Productie normen'!A:K,10,FALSE)</f>
        <v>1859.5880019121171</v>
      </c>
      <c r="W136" s="163">
        <f>VLOOKUP(G136,'3-Productie normen'!A:K,11,FALSE)</f>
        <v>0</v>
      </c>
      <c r="X136" s="163"/>
      <c r="Z136" s="129">
        <f t="shared" si="6"/>
        <v>1235</v>
      </c>
    </row>
    <row r="137" spans="1:26" ht="14.1" customHeight="1">
      <c r="A137" s="144">
        <v>143</v>
      </c>
      <c r="B137" s="485" t="s">
        <v>245</v>
      </c>
      <c r="C137" s="303" t="s">
        <v>707</v>
      </c>
      <c r="D137" s="304" t="s">
        <v>98</v>
      </c>
      <c r="E137" s="694" t="s">
        <v>678</v>
      </c>
      <c r="F137" s="303" t="s">
        <v>288</v>
      </c>
      <c r="G137" s="460" t="s">
        <v>862</v>
      </c>
      <c r="H137" s="303" t="s">
        <v>332</v>
      </c>
      <c r="I137" s="582" t="str">
        <f>VLOOKUP(H137,'9a-Typen vloeren'!$A$10:$B$40,2,FALSE)</f>
        <v>Sproei/extraheren</v>
      </c>
      <c r="J137" s="433">
        <v>114.2</v>
      </c>
      <c r="K137" s="433">
        <f t="shared" si="10"/>
        <v>0</v>
      </c>
      <c r="L137" s="433">
        <f t="shared" si="11"/>
        <v>0</v>
      </c>
      <c r="M137" s="433">
        <f t="shared" si="12"/>
        <v>114.2</v>
      </c>
      <c r="N137" s="672"/>
      <c r="O137" s="729">
        <f>IF(N137="",0,N137*K137/'9b-Vloeronderhoud'!$F$4)</f>
        <v>0</v>
      </c>
      <c r="P137" s="672"/>
      <c r="Q137" s="729" t="e">
        <f>IF(O137="",0,P137*L137/'9b-Vloeronderhoud'!$F$6)</f>
        <v>#DIV/0!</v>
      </c>
      <c r="R137" s="449">
        <v>1</v>
      </c>
      <c r="S137" s="672">
        <v>120</v>
      </c>
      <c r="T137" s="161" t="e">
        <f t="shared" si="5"/>
        <v>#DIV/0!</v>
      </c>
      <c r="U137" s="162">
        <f>IF(S137="nio",0,IF(S137&gt;0,VLOOKUP(G137,'3-Productie normen'!A:K,VLOOKUP(S137,'3-Productie normen'!L:N,3,FALSE),FALSE)))</f>
        <v>0</v>
      </c>
      <c r="V137" s="162">
        <f>VLOOKUP(G137,'3-Productie normen'!A:K,10,FALSE)</f>
        <v>4374.9900215911857</v>
      </c>
      <c r="W137" s="163">
        <f>VLOOKUP(G137,'3-Productie normen'!A:K,11,FALSE)</f>
        <v>0</v>
      </c>
      <c r="X137" s="163"/>
      <c r="Z137" s="129">
        <f t="shared" si="6"/>
        <v>13704</v>
      </c>
    </row>
    <row r="138" spans="1:26" ht="14.1" customHeight="1">
      <c r="A138" s="144">
        <v>144</v>
      </c>
      <c r="B138" s="485" t="s">
        <v>245</v>
      </c>
      <c r="C138" s="303" t="s">
        <v>707</v>
      </c>
      <c r="D138" s="304" t="s">
        <v>98</v>
      </c>
      <c r="E138" s="694" t="s">
        <v>679</v>
      </c>
      <c r="F138" s="303" t="s">
        <v>221</v>
      </c>
      <c r="G138" s="303" t="s">
        <v>221</v>
      </c>
      <c r="H138" s="516" t="s">
        <v>335</v>
      </c>
      <c r="I138" s="582" t="str">
        <f>VLOOKUP(H138,'9a-Typen vloeren'!$A$10:$B$40,2,FALSE)</f>
        <v>Schrobben</v>
      </c>
      <c r="J138" s="433">
        <v>56</v>
      </c>
      <c r="K138" s="433">
        <f t="shared" si="10"/>
        <v>0</v>
      </c>
      <c r="L138" s="433">
        <f t="shared" si="11"/>
        <v>56</v>
      </c>
      <c r="M138" s="433">
        <f t="shared" si="12"/>
        <v>0</v>
      </c>
      <c r="N138" s="672"/>
      <c r="O138" s="729">
        <f>IF(N138="",0,N138*K138/'9b-Vloeronderhoud'!$F$4)</f>
        <v>0</v>
      </c>
      <c r="P138" s="672"/>
      <c r="Q138" s="729" t="e">
        <f>IF(O138="",0,P138*L138/'9b-Vloeronderhoud'!$F$6)</f>
        <v>#DIV/0!</v>
      </c>
      <c r="R138" s="449">
        <v>1</v>
      </c>
      <c r="S138" s="688" t="s">
        <v>179</v>
      </c>
      <c r="T138" s="161">
        <f t="shared" ref="T138:T201" si="13">IF(S138="nio",0,IF(S138&gt;0,S138*J138/U138,0))*R138</f>
        <v>0</v>
      </c>
      <c r="U138" s="162">
        <f>IF(S138="nio",0,IF(S138&gt;0,VLOOKUP(G138,'3-Productie normen'!A:K,VLOOKUP(S138,'3-Productie normen'!L:N,3,FALSE),FALSE)))</f>
        <v>0</v>
      </c>
      <c r="V138" s="162">
        <f>VLOOKUP(G138,'3-Productie normen'!A:K,10,FALSE)</f>
        <v>16013.110036668773</v>
      </c>
      <c r="W138" s="163">
        <f>VLOOKUP(G138,'3-Productie normen'!A:K,11,FALSE)</f>
        <v>0</v>
      </c>
      <c r="X138" s="163"/>
      <c r="Z138" s="129">
        <f t="shared" ref="Z138:Z201" si="14">SUM(S138:S138)*J138</f>
        <v>0</v>
      </c>
    </row>
    <row r="139" spans="1:26" ht="14.1" customHeight="1">
      <c r="A139" s="144">
        <v>145</v>
      </c>
      <c r="B139" s="485" t="s">
        <v>245</v>
      </c>
      <c r="C139" s="303" t="s">
        <v>707</v>
      </c>
      <c r="D139" s="304" t="s">
        <v>98</v>
      </c>
      <c r="E139" s="703" t="s">
        <v>680</v>
      </c>
      <c r="F139" s="490" t="s">
        <v>221</v>
      </c>
      <c r="G139" s="4" t="s">
        <v>221</v>
      </c>
      <c r="H139" s="516" t="s">
        <v>335</v>
      </c>
      <c r="I139" s="582" t="str">
        <f>VLOOKUP(H139,'9a-Typen vloeren'!$A$10:$B$40,2,FALSE)</f>
        <v>Schrobben</v>
      </c>
      <c r="J139" s="433">
        <v>56</v>
      </c>
      <c r="K139" s="433">
        <f t="shared" si="10"/>
        <v>0</v>
      </c>
      <c r="L139" s="433">
        <f t="shared" si="11"/>
        <v>56</v>
      </c>
      <c r="M139" s="433">
        <f t="shared" si="12"/>
        <v>0</v>
      </c>
      <c r="N139" s="672"/>
      <c r="O139" s="729">
        <f>IF(N139="",0,N139*K139/'9b-Vloeronderhoud'!$F$4)</f>
        <v>0</v>
      </c>
      <c r="P139" s="672"/>
      <c r="Q139" s="729" t="e">
        <f>IF(O139="",0,P139*L139/'9b-Vloeronderhoud'!$F$6)</f>
        <v>#DIV/0!</v>
      </c>
      <c r="R139" s="449">
        <v>1</v>
      </c>
      <c r="S139" s="688" t="s">
        <v>179</v>
      </c>
      <c r="T139" s="161">
        <f t="shared" si="13"/>
        <v>0</v>
      </c>
      <c r="U139" s="162">
        <f>IF(S139="nio",0,IF(S139&gt;0,VLOOKUP(G139,'3-Productie normen'!A:K,VLOOKUP(S139,'3-Productie normen'!L:N,3,FALSE),FALSE)))</f>
        <v>0</v>
      </c>
      <c r="V139" s="162">
        <f>VLOOKUP(G139,'3-Productie normen'!A:K,10,FALSE)</f>
        <v>16013.110036668773</v>
      </c>
      <c r="W139" s="163">
        <f>VLOOKUP(G139,'3-Productie normen'!A:K,11,FALSE)</f>
        <v>0</v>
      </c>
      <c r="X139" s="163"/>
      <c r="Z139" s="129">
        <f t="shared" si="14"/>
        <v>0</v>
      </c>
    </row>
    <row r="140" spans="1:26" ht="14.1" customHeight="1">
      <c r="A140" s="144">
        <v>146</v>
      </c>
      <c r="B140" s="485" t="s">
        <v>245</v>
      </c>
      <c r="C140" s="303" t="s">
        <v>707</v>
      </c>
      <c r="D140" s="304" t="s">
        <v>98</v>
      </c>
      <c r="E140" s="703" t="s">
        <v>681</v>
      </c>
      <c r="F140" s="490" t="s">
        <v>99</v>
      </c>
      <c r="G140" s="122" t="s">
        <v>99</v>
      </c>
      <c r="H140" s="516" t="s">
        <v>802</v>
      </c>
      <c r="I140" s="582" t="str">
        <f>VLOOKUP(H140,'9a-Typen vloeren'!$A$10:$B$40,2,FALSE)</f>
        <v>n.v.t.</v>
      </c>
      <c r="J140" s="433">
        <v>14.7</v>
      </c>
      <c r="K140" s="433">
        <f t="shared" si="10"/>
        <v>0</v>
      </c>
      <c r="L140" s="433">
        <f t="shared" si="11"/>
        <v>0</v>
      </c>
      <c r="M140" s="433">
        <f t="shared" si="12"/>
        <v>0</v>
      </c>
      <c r="N140" s="672"/>
      <c r="O140" s="729">
        <f>IF(N140="",0,N140*K140/'9b-Vloeronderhoud'!$F$4)</f>
        <v>0</v>
      </c>
      <c r="P140" s="672"/>
      <c r="Q140" s="729" t="e">
        <f>IF(O140="",0,P140*L140/'9b-Vloeronderhoud'!$F$6)</f>
        <v>#DIV/0!</v>
      </c>
      <c r="R140" s="449">
        <v>1</v>
      </c>
      <c r="S140" s="672">
        <v>190</v>
      </c>
      <c r="T140" s="161" t="e">
        <f t="shared" si="13"/>
        <v>#DIV/0!</v>
      </c>
      <c r="U140" s="162">
        <f>IF(S140="nio",0,IF(S140&gt;0,VLOOKUP(G140,'3-Productie normen'!A:K,VLOOKUP(S140,'3-Productie normen'!L:N,3,FALSE),FALSE)))</f>
        <v>0</v>
      </c>
      <c r="V140" s="162">
        <f>VLOOKUP(G140,'3-Productie normen'!A:K,10,FALSE)</f>
        <v>726.97999910354622</v>
      </c>
      <c r="W140" s="163">
        <f>VLOOKUP(G140,'3-Productie normen'!A:K,11,FALSE)</f>
        <v>0</v>
      </c>
      <c r="X140" s="163"/>
      <c r="Z140" s="129">
        <f t="shared" si="14"/>
        <v>2793</v>
      </c>
    </row>
    <row r="141" spans="1:26" ht="14.1" customHeight="1">
      <c r="A141" s="144">
        <v>147</v>
      </c>
      <c r="B141" s="485" t="s">
        <v>245</v>
      </c>
      <c r="C141" s="303" t="s">
        <v>707</v>
      </c>
      <c r="D141" s="304" t="s">
        <v>98</v>
      </c>
      <c r="E141" s="703" t="s">
        <v>682</v>
      </c>
      <c r="F141" s="490" t="s">
        <v>267</v>
      </c>
      <c r="G141" s="122" t="s">
        <v>18</v>
      </c>
      <c r="H141" s="303" t="s">
        <v>955</v>
      </c>
      <c r="I141" s="582" t="str">
        <f>VLOOKUP(H141,'9a-Typen vloeren'!$A$10:$B$40,2,FALSE)</f>
        <v>zie kwaliteitsontwerp</v>
      </c>
      <c r="J141" s="433">
        <v>6.4</v>
      </c>
      <c r="K141" s="433">
        <f t="shared" si="10"/>
        <v>0</v>
      </c>
      <c r="L141" s="433">
        <f t="shared" si="11"/>
        <v>0</v>
      </c>
      <c r="M141" s="433">
        <f t="shared" si="12"/>
        <v>0</v>
      </c>
      <c r="N141" s="672"/>
      <c r="O141" s="729">
        <f>IF(N141="",0,N141*K141/'9b-Vloeronderhoud'!$F$4)</f>
        <v>0</v>
      </c>
      <c r="P141" s="672"/>
      <c r="Q141" s="729" t="e">
        <f>IF(O141="",0,P141*L141/'9b-Vloeronderhoud'!$F$6)</f>
        <v>#DIV/0!</v>
      </c>
      <c r="R141" s="449">
        <v>1</v>
      </c>
      <c r="S141" s="672">
        <v>190</v>
      </c>
      <c r="T141" s="161" t="e">
        <f t="shared" si="13"/>
        <v>#DIV/0!</v>
      </c>
      <c r="U141" s="162">
        <f>IF(S141="nio",0,IF(S141&gt;0,VLOOKUP(G141,'3-Productie normen'!A:K,VLOOKUP(S141,'3-Productie normen'!L:N,3,FALSE),FALSE)))</f>
        <v>0</v>
      </c>
      <c r="V141" s="162">
        <f>VLOOKUP(G141,'3-Productie normen'!A:K,10,FALSE)</f>
        <v>1859.5880019121171</v>
      </c>
      <c r="W141" s="163">
        <f>VLOOKUP(G141,'3-Productie normen'!A:K,11,FALSE)</f>
        <v>0</v>
      </c>
      <c r="X141" s="163"/>
      <c r="Z141" s="129">
        <f t="shared" si="14"/>
        <v>1216</v>
      </c>
    </row>
    <row r="142" spans="1:26" ht="14.1" customHeight="1">
      <c r="A142" s="144">
        <v>148</v>
      </c>
      <c r="B142" s="485" t="s">
        <v>245</v>
      </c>
      <c r="C142" s="303" t="s">
        <v>707</v>
      </c>
      <c r="D142" s="304" t="s">
        <v>98</v>
      </c>
      <c r="E142" s="703" t="s">
        <v>683</v>
      </c>
      <c r="F142" s="490" t="s">
        <v>267</v>
      </c>
      <c r="G142" s="303" t="s">
        <v>18</v>
      </c>
      <c r="H142" s="303" t="s">
        <v>955</v>
      </c>
      <c r="I142" s="582" t="str">
        <f>VLOOKUP(H142,'9a-Typen vloeren'!$A$10:$B$40,2,FALSE)</f>
        <v>zie kwaliteitsontwerp</v>
      </c>
      <c r="J142" s="433">
        <v>6.4</v>
      </c>
      <c r="K142" s="433">
        <f t="shared" si="10"/>
        <v>0</v>
      </c>
      <c r="L142" s="433">
        <f t="shared" si="11"/>
        <v>0</v>
      </c>
      <c r="M142" s="433">
        <f t="shared" si="12"/>
        <v>0</v>
      </c>
      <c r="N142" s="672"/>
      <c r="O142" s="729">
        <f>IF(N142="",0,N142*K142/'9b-Vloeronderhoud'!$F$4)</f>
        <v>0</v>
      </c>
      <c r="P142" s="672"/>
      <c r="Q142" s="729" t="e">
        <f>IF(O142="",0,P142*L142/'9b-Vloeronderhoud'!$F$6)</f>
        <v>#DIV/0!</v>
      </c>
      <c r="R142" s="449">
        <v>1</v>
      </c>
      <c r="S142" s="672">
        <v>190</v>
      </c>
      <c r="T142" s="161" t="e">
        <f t="shared" si="13"/>
        <v>#DIV/0!</v>
      </c>
      <c r="U142" s="162">
        <f>IF(S142="nio",0,IF(S142&gt;0,VLOOKUP(G142,'3-Productie normen'!A:K,VLOOKUP(S142,'3-Productie normen'!L:N,3,FALSE),FALSE)))</f>
        <v>0</v>
      </c>
      <c r="V142" s="162">
        <f>VLOOKUP(G142,'3-Productie normen'!A:K,10,FALSE)</f>
        <v>1859.5880019121171</v>
      </c>
      <c r="W142" s="163">
        <f>VLOOKUP(G142,'3-Productie normen'!A:K,11,FALSE)</f>
        <v>0</v>
      </c>
      <c r="X142" s="163"/>
      <c r="Z142" s="129">
        <f t="shared" si="14"/>
        <v>1216</v>
      </c>
    </row>
    <row r="143" spans="1:26" ht="14.1" customHeight="1">
      <c r="A143" s="144">
        <v>149</v>
      </c>
      <c r="B143" s="485" t="s">
        <v>245</v>
      </c>
      <c r="C143" s="303" t="s">
        <v>707</v>
      </c>
      <c r="D143" s="304" t="s">
        <v>98</v>
      </c>
      <c r="E143" s="703" t="s">
        <v>684</v>
      </c>
      <c r="F143" s="490" t="s">
        <v>221</v>
      </c>
      <c r="G143" s="460" t="s">
        <v>221</v>
      </c>
      <c r="H143" s="516" t="s">
        <v>335</v>
      </c>
      <c r="I143" s="582" t="str">
        <f>VLOOKUP(H143,'9a-Typen vloeren'!$A$10:$B$40,2,FALSE)</f>
        <v>Schrobben</v>
      </c>
      <c r="J143" s="433">
        <v>64.8</v>
      </c>
      <c r="K143" s="433">
        <f t="shared" si="10"/>
        <v>0</v>
      </c>
      <c r="L143" s="433">
        <f t="shared" si="11"/>
        <v>64.8</v>
      </c>
      <c r="M143" s="433">
        <f t="shared" si="12"/>
        <v>0</v>
      </c>
      <c r="N143" s="672"/>
      <c r="O143" s="729">
        <f>IF(N143="",0,N143*K143/'9b-Vloeronderhoud'!$F$4)</f>
        <v>0</v>
      </c>
      <c r="P143" s="672"/>
      <c r="Q143" s="729" t="e">
        <f>IF(O143="",0,P143*L143/'9b-Vloeronderhoud'!$F$6)</f>
        <v>#DIV/0!</v>
      </c>
      <c r="R143" s="449">
        <v>1</v>
      </c>
      <c r="S143" s="672">
        <v>80</v>
      </c>
      <c r="T143" s="161" t="e">
        <f t="shared" si="13"/>
        <v>#DIV/0!</v>
      </c>
      <c r="U143" s="162">
        <f>IF(S143="nio",0,IF(S143&gt;0,VLOOKUP(G143,'3-Productie normen'!A:K,VLOOKUP(S143,'3-Productie normen'!L:N,3,FALSE),FALSE)))</f>
        <v>0</v>
      </c>
      <c r="V143" s="162">
        <f>VLOOKUP(G143,'3-Productie normen'!A:K,10,FALSE)</f>
        <v>16013.110036668773</v>
      </c>
      <c r="W143" s="163">
        <f>VLOOKUP(G143,'3-Productie normen'!A:K,11,FALSE)</f>
        <v>0</v>
      </c>
      <c r="X143" s="163"/>
      <c r="Z143" s="129">
        <f t="shared" si="14"/>
        <v>5184</v>
      </c>
    </row>
    <row r="144" spans="1:26" ht="14.1" customHeight="1">
      <c r="A144" s="144">
        <v>150</v>
      </c>
      <c r="B144" s="485" t="s">
        <v>245</v>
      </c>
      <c r="C144" s="303" t="s">
        <v>707</v>
      </c>
      <c r="D144" s="304" t="s">
        <v>98</v>
      </c>
      <c r="E144" s="703" t="s">
        <v>685</v>
      </c>
      <c r="F144" s="490" t="s">
        <v>221</v>
      </c>
      <c r="G144" s="460" t="s">
        <v>221</v>
      </c>
      <c r="H144" s="517" t="s">
        <v>335</v>
      </c>
      <c r="I144" s="582" t="str">
        <f>VLOOKUP(H144,'9a-Typen vloeren'!$A$10:$B$40,2,FALSE)</f>
        <v>Schrobben</v>
      </c>
      <c r="J144" s="583">
        <v>55.8</v>
      </c>
      <c r="K144" s="433">
        <f t="shared" si="10"/>
        <v>0</v>
      </c>
      <c r="L144" s="433">
        <f t="shared" si="11"/>
        <v>55.8</v>
      </c>
      <c r="M144" s="433">
        <f t="shared" si="12"/>
        <v>0</v>
      </c>
      <c r="N144" s="672"/>
      <c r="O144" s="729">
        <f>IF(N144="",0,N144*K144/'9b-Vloeronderhoud'!$F$4)</f>
        <v>0</v>
      </c>
      <c r="P144" s="672"/>
      <c r="Q144" s="729" t="e">
        <f>IF(O144="",0,P144*L144/'9b-Vloeronderhoud'!$F$6)</f>
        <v>#DIV/0!</v>
      </c>
      <c r="R144" s="449">
        <v>1</v>
      </c>
      <c r="S144" s="672">
        <v>80</v>
      </c>
      <c r="T144" s="161" t="e">
        <f t="shared" si="13"/>
        <v>#DIV/0!</v>
      </c>
      <c r="U144" s="162">
        <f>IF(S144="nio",0,IF(S144&gt;0,VLOOKUP(G144,'3-Productie normen'!A:K,VLOOKUP(S144,'3-Productie normen'!L:N,3,FALSE),FALSE)))</f>
        <v>0</v>
      </c>
      <c r="V144" s="162">
        <f>VLOOKUP(G144,'3-Productie normen'!A:K,10,FALSE)</f>
        <v>16013.110036668773</v>
      </c>
      <c r="W144" s="163">
        <f>VLOOKUP(G144,'3-Productie normen'!A:K,11,FALSE)</f>
        <v>0</v>
      </c>
      <c r="X144" s="163"/>
      <c r="Z144" s="129">
        <f t="shared" si="14"/>
        <v>4464</v>
      </c>
    </row>
    <row r="145" spans="1:26" ht="14.1" customHeight="1">
      <c r="A145" s="144">
        <v>151</v>
      </c>
      <c r="B145" s="485" t="s">
        <v>245</v>
      </c>
      <c r="C145" s="303" t="s">
        <v>707</v>
      </c>
      <c r="D145" s="304" t="s">
        <v>98</v>
      </c>
      <c r="E145" s="703" t="s">
        <v>686</v>
      </c>
      <c r="F145" s="490" t="s">
        <v>221</v>
      </c>
      <c r="G145" s="122" t="s">
        <v>221</v>
      </c>
      <c r="H145" s="517" t="s">
        <v>335</v>
      </c>
      <c r="I145" s="582" t="str">
        <f>VLOOKUP(H145,'9a-Typen vloeren'!$A$10:$B$40,2,FALSE)</f>
        <v>Schrobben</v>
      </c>
      <c r="J145" s="583">
        <v>62.8</v>
      </c>
      <c r="K145" s="433">
        <f t="shared" si="10"/>
        <v>0</v>
      </c>
      <c r="L145" s="433">
        <f t="shared" si="11"/>
        <v>62.8</v>
      </c>
      <c r="M145" s="433">
        <f t="shared" si="12"/>
        <v>0</v>
      </c>
      <c r="N145" s="672"/>
      <c r="O145" s="729">
        <f>IF(N145="",0,N145*K145/'9b-Vloeronderhoud'!$F$4)</f>
        <v>0</v>
      </c>
      <c r="P145" s="672"/>
      <c r="Q145" s="729" t="e">
        <f>IF(O145="",0,P145*L145/'9b-Vloeronderhoud'!$F$6)</f>
        <v>#DIV/0!</v>
      </c>
      <c r="R145" s="449">
        <v>1</v>
      </c>
      <c r="S145" s="672">
        <v>80</v>
      </c>
      <c r="T145" s="161" t="e">
        <f t="shared" si="13"/>
        <v>#DIV/0!</v>
      </c>
      <c r="U145" s="162">
        <f>IF(S145="nio",0,IF(S145&gt;0,VLOOKUP(G145,'3-Productie normen'!A:K,VLOOKUP(S145,'3-Productie normen'!L:N,3,FALSE),FALSE)))</f>
        <v>0</v>
      </c>
      <c r="V145" s="162">
        <f>VLOOKUP(G145,'3-Productie normen'!A:K,10,FALSE)</f>
        <v>16013.110036668773</v>
      </c>
      <c r="W145" s="163">
        <f>VLOOKUP(G145,'3-Productie normen'!A:K,11,FALSE)</f>
        <v>0</v>
      </c>
      <c r="X145" s="163"/>
      <c r="Z145" s="129">
        <f t="shared" si="14"/>
        <v>5024</v>
      </c>
    </row>
    <row r="146" spans="1:26" ht="14.1" customHeight="1">
      <c r="A146" s="144">
        <v>152</v>
      </c>
      <c r="B146" s="485" t="s">
        <v>245</v>
      </c>
      <c r="C146" s="303" t="s">
        <v>707</v>
      </c>
      <c r="D146" s="304" t="s">
        <v>98</v>
      </c>
      <c r="E146" s="703" t="s">
        <v>687</v>
      </c>
      <c r="F146" s="490" t="s">
        <v>556</v>
      </c>
      <c r="G146" s="172" t="s">
        <v>299</v>
      </c>
      <c r="H146" s="303" t="s">
        <v>332</v>
      </c>
      <c r="I146" s="582" t="str">
        <f>VLOOKUP(H146,'9a-Typen vloeren'!$A$10:$B$40,2,FALSE)</f>
        <v>Sproei/extraheren</v>
      </c>
      <c r="J146" s="583">
        <v>28.9</v>
      </c>
      <c r="K146" s="433">
        <f t="shared" si="10"/>
        <v>0</v>
      </c>
      <c r="L146" s="433">
        <f t="shared" si="11"/>
        <v>0</v>
      </c>
      <c r="M146" s="433">
        <f t="shared" si="12"/>
        <v>28.9</v>
      </c>
      <c r="N146" s="672"/>
      <c r="O146" s="729">
        <f>IF(N146="",0,N146*K146/'9b-Vloeronderhoud'!$F$4)</f>
        <v>0</v>
      </c>
      <c r="P146" s="672"/>
      <c r="Q146" s="729" t="e">
        <f>IF(O146="",0,P146*L146/'9b-Vloeronderhoud'!$F$6)</f>
        <v>#DIV/0!</v>
      </c>
      <c r="R146" s="449">
        <v>1</v>
      </c>
      <c r="S146" s="672">
        <v>40</v>
      </c>
      <c r="T146" s="161" t="e">
        <f t="shared" si="13"/>
        <v>#DIV/0!</v>
      </c>
      <c r="U146" s="162">
        <f>IF(S146="nio",0,IF(S146&gt;0,VLOOKUP(G146,'3-Productie normen'!A:K,VLOOKUP(S146,'3-Productie normen'!L:N,3,FALSE),FALSE)))</f>
        <v>0</v>
      </c>
      <c r="V146" s="162">
        <f>VLOOKUP(G146,'3-Productie normen'!A:K,10,FALSE)</f>
        <v>1107.9100014114381</v>
      </c>
      <c r="W146" s="163">
        <f>VLOOKUP(G146,'3-Productie normen'!A:K,11,FALSE)</f>
        <v>0</v>
      </c>
      <c r="X146" s="163"/>
      <c r="Z146" s="129">
        <f t="shared" si="14"/>
        <v>1156</v>
      </c>
    </row>
    <row r="147" spans="1:26" ht="14.1" customHeight="1">
      <c r="A147" s="144">
        <v>153</v>
      </c>
      <c r="B147" s="485" t="s">
        <v>245</v>
      </c>
      <c r="C147" s="303" t="s">
        <v>707</v>
      </c>
      <c r="D147" s="304" t="s">
        <v>98</v>
      </c>
      <c r="E147" s="703" t="s">
        <v>688</v>
      </c>
      <c r="F147" s="490" t="s">
        <v>382</v>
      </c>
      <c r="G147" s="460" t="s">
        <v>881</v>
      </c>
      <c r="H147" s="517" t="s">
        <v>335</v>
      </c>
      <c r="I147" s="582" t="str">
        <f>VLOOKUP(H147,'9a-Typen vloeren'!$A$10:$B$40,2,FALSE)</f>
        <v>Schrobben</v>
      </c>
      <c r="J147" s="583">
        <v>6</v>
      </c>
      <c r="K147" s="433">
        <f t="shared" si="10"/>
        <v>0</v>
      </c>
      <c r="L147" s="433">
        <f t="shared" si="11"/>
        <v>0</v>
      </c>
      <c r="M147" s="433">
        <f t="shared" si="12"/>
        <v>0</v>
      </c>
      <c r="N147" s="672"/>
      <c r="O147" s="729">
        <f>IF(N147="",0,N147*K147/'9b-Vloeronderhoud'!$F$4)</f>
        <v>0</v>
      </c>
      <c r="P147" s="672"/>
      <c r="Q147" s="729" t="e">
        <f>IF(O147="",0,P147*L147/'9b-Vloeronderhoud'!$F$6)</f>
        <v>#DIV/0!</v>
      </c>
      <c r="R147" s="449">
        <v>1</v>
      </c>
      <c r="S147" s="672" t="s">
        <v>179</v>
      </c>
      <c r="T147" s="161">
        <f t="shared" si="13"/>
        <v>0</v>
      </c>
      <c r="U147" s="162">
        <f>IF(S147="nio",0,IF(S147&gt;0,VLOOKUP(G147,'3-Productie normen'!A:K,VLOOKUP(S147,'3-Productie normen'!L:N,3,FALSE),FALSE)))</f>
        <v>0</v>
      </c>
      <c r="V147" s="162">
        <f>VLOOKUP(G147,'3-Productie normen'!A:K,10,FALSE)</f>
        <v>5262.809993648526</v>
      </c>
      <c r="W147" s="163">
        <f>VLOOKUP(G147,'3-Productie normen'!A:K,11,FALSE)</f>
        <v>0</v>
      </c>
      <c r="X147" s="163"/>
      <c r="Z147" s="129">
        <f t="shared" si="14"/>
        <v>0</v>
      </c>
    </row>
    <row r="148" spans="1:26" ht="14.1" customHeight="1">
      <c r="A148" s="144">
        <v>154</v>
      </c>
      <c r="B148" s="485" t="s">
        <v>245</v>
      </c>
      <c r="C148" s="303" t="s">
        <v>707</v>
      </c>
      <c r="D148" s="304" t="s">
        <v>98</v>
      </c>
      <c r="E148" s="703" t="s">
        <v>689</v>
      </c>
      <c r="F148" s="490" t="s">
        <v>267</v>
      </c>
      <c r="G148" s="122" t="s">
        <v>18</v>
      </c>
      <c r="H148" s="303" t="s">
        <v>955</v>
      </c>
      <c r="I148" s="582" t="str">
        <f>VLOOKUP(H148,'9a-Typen vloeren'!$A$10:$B$40,2,FALSE)</f>
        <v>zie kwaliteitsontwerp</v>
      </c>
      <c r="J148" s="583">
        <v>2.5</v>
      </c>
      <c r="K148" s="433">
        <f t="shared" si="10"/>
        <v>0</v>
      </c>
      <c r="L148" s="433">
        <f t="shared" si="11"/>
        <v>0</v>
      </c>
      <c r="M148" s="433">
        <f t="shared" si="12"/>
        <v>0</v>
      </c>
      <c r="N148" s="672"/>
      <c r="O148" s="729">
        <f>IF(N148="",0,N148*K148/'9b-Vloeronderhoud'!$F$4)</f>
        <v>0</v>
      </c>
      <c r="P148" s="672"/>
      <c r="Q148" s="729" t="e">
        <f>IF(O148="",0,P148*L148/'9b-Vloeronderhoud'!$F$6)</f>
        <v>#DIV/0!</v>
      </c>
      <c r="R148" s="449">
        <v>1</v>
      </c>
      <c r="S148" s="672">
        <v>190</v>
      </c>
      <c r="T148" s="161" t="e">
        <f t="shared" si="13"/>
        <v>#DIV/0!</v>
      </c>
      <c r="U148" s="162">
        <f>IF(S148="nio",0,IF(S148&gt;0,VLOOKUP(G148,'3-Productie normen'!A:K,VLOOKUP(S148,'3-Productie normen'!L:N,3,FALSE),FALSE)))</f>
        <v>0</v>
      </c>
      <c r="V148" s="162">
        <f>VLOOKUP(G148,'3-Productie normen'!A:K,10,FALSE)</f>
        <v>1859.5880019121171</v>
      </c>
      <c r="W148" s="163">
        <f>VLOOKUP(G148,'3-Productie normen'!A:K,11,FALSE)</f>
        <v>0</v>
      </c>
      <c r="X148" s="163"/>
      <c r="Z148" s="129">
        <f t="shared" si="14"/>
        <v>475</v>
      </c>
    </row>
    <row r="149" spans="1:26" ht="14.1" customHeight="1">
      <c r="A149" s="144">
        <v>155</v>
      </c>
      <c r="B149" s="485" t="s">
        <v>245</v>
      </c>
      <c r="C149" s="303" t="s">
        <v>707</v>
      </c>
      <c r="D149" s="304" t="s">
        <v>98</v>
      </c>
      <c r="E149" s="704" t="s">
        <v>690</v>
      </c>
      <c r="F149" s="490" t="s">
        <v>382</v>
      </c>
      <c r="G149" s="460" t="s">
        <v>881</v>
      </c>
      <c r="H149" s="517" t="s">
        <v>564</v>
      </c>
      <c r="I149" s="582" t="str">
        <f>VLOOKUP(H149,'9a-Typen vloeren'!$A$10:$B$40,2,FALSE)</f>
        <v>Schrobben</v>
      </c>
      <c r="J149" s="583">
        <v>5.0999999999999996</v>
      </c>
      <c r="K149" s="433">
        <f t="shared" si="10"/>
        <v>0</v>
      </c>
      <c r="L149" s="433">
        <f t="shared" si="11"/>
        <v>0</v>
      </c>
      <c r="M149" s="433">
        <f t="shared" si="12"/>
        <v>0</v>
      </c>
      <c r="N149" s="672"/>
      <c r="O149" s="729">
        <f>IF(N149="",0,N149*K149/'9b-Vloeronderhoud'!$F$4)</f>
        <v>0</v>
      </c>
      <c r="P149" s="672"/>
      <c r="Q149" s="729" t="e">
        <f>IF(O149="",0,P149*L149/'9b-Vloeronderhoud'!$F$6)</f>
        <v>#DIV/0!</v>
      </c>
      <c r="R149" s="449">
        <v>1</v>
      </c>
      <c r="S149" s="672" t="s">
        <v>179</v>
      </c>
      <c r="T149" s="161">
        <f t="shared" si="13"/>
        <v>0</v>
      </c>
      <c r="U149" s="162">
        <f>IF(S149="nio",0,IF(S149&gt;0,VLOOKUP(G149,'3-Productie normen'!A:K,VLOOKUP(S149,'3-Productie normen'!L:N,3,FALSE),FALSE)))</f>
        <v>0</v>
      </c>
      <c r="V149" s="162">
        <f>VLOOKUP(G149,'3-Productie normen'!A:K,10,FALSE)</f>
        <v>5262.809993648526</v>
      </c>
      <c r="W149" s="163">
        <f>VLOOKUP(G149,'3-Productie normen'!A:K,11,FALSE)</f>
        <v>0</v>
      </c>
      <c r="X149" s="163"/>
      <c r="Z149" s="129">
        <f t="shared" si="14"/>
        <v>0</v>
      </c>
    </row>
    <row r="150" spans="1:26" ht="14.1" customHeight="1">
      <c r="A150" s="144">
        <v>156</v>
      </c>
      <c r="B150" s="485" t="s">
        <v>245</v>
      </c>
      <c r="C150" s="490" t="s">
        <v>707</v>
      </c>
      <c r="D150" s="304" t="s">
        <v>98</v>
      </c>
      <c r="E150" s="694" t="s">
        <v>691</v>
      </c>
      <c r="F150" s="303" t="s">
        <v>382</v>
      </c>
      <c r="G150" s="460" t="s">
        <v>881</v>
      </c>
      <c r="H150" s="516" t="s">
        <v>564</v>
      </c>
      <c r="I150" s="582" t="str">
        <f>VLOOKUP(H150,'9a-Typen vloeren'!$A$10:$B$40,2,FALSE)</f>
        <v>Schrobben</v>
      </c>
      <c r="J150" s="433">
        <v>0.8</v>
      </c>
      <c r="K150" s="433">
        <f t="shared" si="10"/>
        <v>0</v>
      </c>
      <c r="L150" s="433">
        <f t="shared" si="11"/>
        <v>0</v>
      </c>
      <c r="M150" s="433">
        <f t="shared" si="12"/>
        <v>0</v>
      </c>
      <c r="N150" s="672"/>
      <c r="O150" s="729">
        <f>IF(N150="",0,N150*K150/'9b-Vloeronderhoud'!$F$4)</f>
        <v>0</v>
      </c>
      <c r="P150" s="672"/>
      <c r="Q150" s="729" t="e">
        <f>IF(O150="",0,P150*L150/'9b-Vloeronderhoud'!$F$6)</f>
        <v>#DIV/0!</v>
      </c>
      <c r="R150" s="449">
        <v>1</v>
      </c>
      <c r="S150" s="672" t="s">
        <v>179</v>
      </c>
      <c r="T150" s="161">
        <f t="shared" si="13"/>
        <v>0</v>
      </c>
      <c r="U150" s="162">
        <f>IF(S150="nio",0,IF(S150&gt;0,VLOOKUP(G150,'3-Productie normen'!A:K,VLOOKUP(S150,'3-Productie normen'!L:N,3,FALSE),FALSE)))</f>
        <v>0</v>
      </c>
      <c r="V150" s="162">
        <f>VLOOKUP(G150,'3-Productie normen'!A:K,10,FALSE)</f>
        <v>5262.809993648526</v>
      </c>
      <c r="W150" s="163">
        <f>VLOOKUP(G150,'3-Productie normen'!A:K,11,FALSE)</f>
        <v>0</v>
      </c>
      <c r="X150" s="163"/>
      <c r="Z150" s="129">
        <f t="shared" si="14"/>
        <v>0</v>
      </c>
    </row>
    <row r="151" spans="1:26" ht="14.1" customHeight="1">
      <c r="A151" s="144">
        <v>157</v>
      </c>
      <c r="B151" s="485" t="s">
        <v>245</v>
      </c>
      <c r="C151" s="490" t="s">
        <v>707</v>
      </c>
      <c r="D151" s="304" t="s">
        <v>98</v>
      </c>
      <c r="E151" s="694" t="s">
        <v>692</v>
      </c>
      <c r="F151" s="303" t="s">
        <v>288</v>
      </c>
      <c r="G151" s="460" t="s">
        <v>862</v>
      </c>
      <c r="H151" s="516" t="s">
        <v>335</v>
      </c>
      <c r="I151" s="582" t="str">
        <f>VLOOKUP(H151,'9a-Typen vloeren'!$A$10:$B$40,2,FALSE)</f>
        <v>Schrobben</v>
      </c>
      <c r="J151" s="433">
        <v>83.3</v>
      </c>
      <c r="K151" s="433">
        <f t="shared" si="10"/>
        <v>0</v>
      </c>
      <c r="L151" s="433">
        <f t="shared" si="11"/>
        <v>83.3</v>
      </c>
      <c r="M151" s="433">
        <f t="shared" si="12"/>
        <v>0</v>
      </c>
      <c r="N151" s="672"/>
      <c r="O151" s="729">
        <f>IF(N151="",0,N151*K151/'9b-Vloeronderhoud'!$F$4)</f>
        <v>0</v>
      </c>
      <c r="P151" s="672">
        <v>3</v>
      </c>
      <c r="Q151" s="729" t="e">
        <f>IF(O151="",0,P151*L151/'9b-Vloeronderhoud'!$F$6)</f>
        <v>#DIV/0!</v>
      </c>
      <c r="R151" s="449">
        <v>1</v>
      </c>
      <c r="S151" s="672">
        <v>120</v>
      </c>
      <c r="T151" s="161" t="e">
        <f t="shared" si="13"/>
        <v>#DIV/0!</v>
      </c>
      <c r="U151" s="162">
        <f>IF(S151="nio",0,IF(S151&gt;0,VLOOKUP(G151,'3-Productie normen'!A:K,VLOOKUP(S151,'3-Productie normen'!L:N,3,FALSE),FALSE)))</f>
        <v>0</v>
      </c>
      <c r="V151" s="162">
        <f>VLOOKUP(G151,'3-Productie normen'!A:K,10,FALSE)</f>
        <v>4374.9900215911857</v>
      </c>
      <c r="W151" s="163">
        <f>VLOOKUP(G151,'3-Productie normen'!A:K,11,FALSE)</f>
        <v>0</v>
      </c>
      <c r="X151" s="163"/>
      <c r="Z151" s="129">
        <f t="shared" si="14"/>
        <v>9996</v>
      </c>
    </row>
    <row r="152" spans="1:26" ht="14.1" customHeight="1">
      <c r="A152" s="144">
        <v>158</v>
      </c>
      <c r="B152" s="485" t="s">
        <v>245</v>
      </c>
      <c r="C152" s="490" t="s">
        <v>707</v>
      </c>
      <c r="D152" s="304" t="s">
        <v>98</v>
      </c>
      <c r="E152" s="694" t="s">
        <v>693</v>
      </c>
      <c r="F152" s="303" t="s">
        <v>221</v>
      </c>
      <c r="G152" s="303" t="s">
        <v>221</v>
      </c>
      <c r="H152" s="516" t="s">
        <v>335</v>
      </c>
      <c r="I152" s="582" t="str">
        <f>VLOOKUP(H152,'9a-Typen vloeren'!$A$10:$B$40,2,FALSE)</f>
        <v>Schrobben</v>
      </c>
      <c r="J152" s="433">
        <v>62.2</v>
      </c>
      <c r="K152" s="433">
        <f t="shared" si="10"/>
        <v>0</v>
      </c>
      <c r="L152" s="433">
        <f t="shared" si="11"/>
        <v>62.2</v>
      </c>
      <c r="M152" s="433">
        <f t="shared" si="12"/>
        <v>0</v>
      </c>
      <c r="N152" s="672"/>
      <c r="O152" s="729">
        <f>IF(N152="",0,N152*K152/'9b-Vloeronderhoud'!$F$4)</f>
        <v>0</v>
      </c>
      <c r="P152" s="672"/>
      <c r="Q152" s="729" t="e">
        <f>IF(O152="",0,P152*L152/'9b-Vloeronderhoud'!$F$6)</f>
        <v>#DIV/0!</v>
      </c>
      <c r="R152" s="449">
        <v>1</v>
      </c>
      <c r="S152" s="672">
        <v>80</v>
      </c>
      <c r="T152" s="161" t="e">
        <f t="shared" si="13"/>
        <v>#DIV/0!</v>
      </c>
      <c r="U152" s="162">
        <f>IF(S152="nio",0,IF(S152&gt;0,VLOOKUP(G152,'3-Productie normen'!A:K,VLOOKUP(S152,'3-Productie normen'!L:N,3,FALSE),FALSE)))</f>
        <v>0</v>
      </c>
      <c r="V152" s="162">
        <f>VLOOKUP(G152,'3-Productie normen'!A:K,10,FALSE)</f>
        <v>16013.110036668773</v>
      </c>
      <c r="W152" s="163">
        <f>VLOOKUP(G152,'3-Productie normen'!A:K,11,FALSE)</f>
        <v>0</v>
      </c>
      <c r="X152" s="163"/>
      <c r="Z152" s="129">
        <f t="shared" si="14"/>
        <v>4976</v>
      </c>
    </row>
    <row r="153" spans="1:26" ht="14.1" customHeight="1">
      <c r="A153" s="144">
        <v>159</v>
      </c>
      <c r="B153" s="485" t="s">
        <v>245</v>
      </c>
      <c r="C153" s="490" t="s">
        <v>707</v>
      </c>
      <c r="D153" s="304" t="s">
        <v>98</v>
      </c>
      <c r="E153" s="694" t="s">
        <v>694</v>
      </c>
      <c r="F153" s="303" t="s">
        <v>282</v>
      </c>
      <c r="G153" s="460" t="s">
        <v>881</v>
      </c>
      <c r="H153" s="516" t="s">
        <v>564</v>
      </c>
      <c r="I153" s="582" t="str">
        <f>VLOOKUP(H153,'9a-Typen vloeren'!$A$10:$B$40,2,FALSE)</f>
        <v>Schrobben</v>
      </c>
      <c r="J153" s="433">
        <v>1.2</v>
      </c>
      <c r="K153" s="433">
        <f t="shared" si="10"/>
        <v>0</v>
      </c>
      <c r="L153" s="433">
        <f t="shared" si="11"/>
        <v>0</v>
      </c>
      <c r="M153" s="433">
        <f t="shared" si="12"/>
        <v>0</v>
      </c>
      <c r="N153" s="672"/>
      <c r="O153" s="729">
        <f>IF(N153="",0,N153*K153/'9b-Vloeronderhoud'!$F$4)</f>
        <v>0</v>
      </c>
      <c r="P153" s="672"/>
      <c r="Q153" s="729" t="e">
        <f>IF(O153="",0,P153*L153/'9b-Vloeronderhoud'!$F$6)</f>
        <v>#DIV/0!</v>
      </c>
      <c r="R153" s="449">
        <v>1</v>
      </c>
      <c r="S153" s="672" t="s">
        <v>179</v>
      </c>
      <c r="T153" s="161">
        <f t="shared" si="13"/>
        <v>0</v>
      </c>
      <c r="U153" s="162">
        <f>IF(S153="nio",0,IF(S153&gt;0,VLOOKUP(G153,'3-Productie normen'!A:K,VLOOKUP(S153,'3-Productie normen'!L:N,3,FALSE),FALSE)))</f>
        <v>0</v>
      </c>
      <c r="V153" s="162">
        <f>VLOOKUP(G153,'3-Productie normen'!A:K,10,FALSE)</f>
        <v>5262.809993648526</v>
      </c>
      <c r="W153" s="163">
        <f>VLOOKUP(G153,'3-Productie normen'!A:K,11,FALSE)</f>
        <v>0</v>
      </c>
      <c r="X153" s="163"/>
      <c r="Z153" s="129">
        <f t="shared" si="14"/>
        <v>0</v>
      </c>
    </row>
    <row r="154" spans="1:26" ht="14.1" customHeight="1">
      <c r="A154" s="144">
        <v>160</v>
      </c>
      <c r="B154" s="485" t="s">
        <v>245</v>
      </c>
      <c r="C154" s="490" t="s">
        <v>707</v>
      </c>
      <c r="D154" s="304" t="s">
        <v>98</v>
      </c>
      <c r="E154" s="694" t="s">
        <v>695</v>
      </c>
      <c r="F154" s="303" t="s">
        <v>267</v>
      </c>
      <c r="G154" s="533" t="s">
        <v>18</v>
      </c>
      <c r="H154" s="303" t="s">
        <v>955</v>
      </c>
      <c r="I154" s="582" t="str">
        <f>VLOOKUP(H154,'9a-Typen vloeren'!$A$10:$B$40,2,FALSE)</f>
        <v>zie kwaliteitsontwerp</v>
      </c>
      <c r="J154" s="433">
        <v>5.0999999999999996</v>
      </c>
      <c r="K154" s="433">
        <f t="shared" si="10"/>
        <v>0</v>
      </c>
      <c r="L154" s="433">
        <f t="shared" si="11"/>
        <v>0</v>
      </c>
      <c r="M154" s="433">
        <f t="shared" si="12"/>
        <v>0</v>
      </c>
      <c r="N154" s="672"/>
      <c r="O154" s="729">
        <f>IF(N154="",0,N154*K154/'9b-Vloeronderhoud'!$F$4)</f>
        <v>0</v>
      </c>
      <c r="P154" s="672"/>
      <c r="Q154" s="729" t="e">
        <f>IF(O154="",0,P154*L154/'9b-Vloeronderhoud'!$F$6)</f>
        <v>#DIV/0!</v>
      </c>
      <c r="R154" s="449">
        <v>1</v>
      </c>
      <c r="S154" s="672">
        <v>190</v>
      </c>
      <c r="T154" s="161" t="e">
        <f t="shared" si="13"/>
        <v>#DIV/0!</v>
      </c>
      <c r="U154" s="162">
        <f>IF(S154="nio",0,IF(S154&gt;0,VLOOKUP(G154,'3-Productie normen'!A:K,VLOOKUP(S154,'3-Productie normen'!L:N,3,FALSE),FALSE)))</f>
        <v>0</v>
      </c>
      <c r="V154" s="162">
        <f>VLOOKUP(G154,'3-Productie normen'!A:K,10,FALSE)</f>
        <v>1859.5880019121171</v>
      </c>
      <c r="W154" s="163">
        <f>VLOOKUP(G154,'3-Productie normen'!A:K,11,FALSE)</f>
        <v>0</v>
      </c>
      <c r="X154" s="163"/>
      <c r="Z154" s="129">
        <f t="shared" si="14"/>
        <v>968.99999999999989</v>
      </c>
    </row>
    <row r="155" spans="1:26" ht="14.1" customHeight="1">
      <c r="A155" s="144">
        <v>161</v>
      </c>
      <c r="B155" s="485" t="s">
        <v>245</v>
      </c>
      <c r="C155" s="490" t="s">
        <v>707</v>
      </c>
      <c r="D155" s="304" t="s">
        <v>98</v>
      </c>
      <c r="E155" s="694" t="s">
        <v>696</v>
      </c>
      <c r="F155" s="303" t="s">
        <v>702</v>
      </c>
      <c r="G155" s="533" t="s">
        <v>18</v>
      </c>
      <c r="H155" s="303" t="s">
        <v>955</v>
      </c>
      <c r="I155" s="582" t="str">
        <f>VLOOKUP(H155,'9a-Typen vloeren'!$A$10:$B$40,2,FALSE)</f>
        <v>zie kwaliteitsontwerp</v>
      </c>
      <c r="J155" s="433">
        <v>1.9</v>
      </c>
      <c r="K155" s="433">
        <f t="shared" si="10"/>
        <v>0</v>
      </c>
      <c r="L155" s="433">
        <f t="shared" si="11"/>
        <v>0</v>
      </c>
      <c r="M155" s="433">
        <f t="shared" si="12"/>
        <v>0</v>
      </c>
      <c r="N155" s="672"/>
      <c r="O155" s="729">
        <f>IF(N155="",0,N155*K155/'9b-Vloeronderhoud'!$F$4)</f>
        <v>0</v>
      </c>
      <c r="P155" s="672"/>
      <c r="Q155" s="729" t="e">
        <f>IF(O155="",0,P155*L155/'9b-Vloeronderhoud'!$F$6)</f>
        <v>#DIV/0!</v>
      </c>
      <c r="R155" s="449">
        <v>1</v>
      </c>
      <c r="S155" s="672">
        <v>190</v>
      </c>
      <c r="T155" s="161" t="e">
        <f t="shared" si="13"/>
        <v>#DIV/0!</v>
      </c>
      <c r="U155" s="162">
        <f>IF(S155="nio",0,IF(S155&gt;0,VLOOKUP(G155,'3-Productie normen'!A:K,VLOOKUP(S155,'3-Productie normen'!L:N,3,FALSE),FALSE)))</f>
        <v>0</v>
      </c>
      <c r="V155" s="162">
        <f>VLOOKUP(G155,'3-Productie normen'!A:K,10,FALSE)</f>
        <v>1859.5880019121171</v>
      </c>
      <c r="W155" s="163">
        <f>VLOOKUP(G155,'3-Productie normen'!A:K,11,FALSE)</f>
        <v>0</v>
      </c>
      <c r="X155" s="163"/>
      <c r="Z155" s="129">
        <f t="shared" si="14"/>
        <v>361</v>
      </c>
    </row>
    <row r="156" spans="1:26" ht="14.1" customHeight="1">
      <c r="A156" s="144">
        <v>162</v>
      </c>
      <c r="B156" s="517" t="s">
        <v>245</v>
      </c>
      <c r="C156" s="517" t="s">
        <v>707</v>
      </c>
      <c r="D156" s="520" t="s">
        <v>98</v>
      </c>
      <c r="E156" s="701" t="s">
        <v>697</v>
      </c>
      <c r="F156" s="516" t="s">
        <v>99</v>
      </c>
      <c r="G156" s="516" t="s">
        <v>99</v>
      </c>
      <c r="H156" s="516" t="s">
        <v>802</v>
      </c>
      <c r="I156" s="582" t="str">
        <f>VLOOKUP(H156,'9a-Typen vloeren'!$A$10:$B$40,2,FALSE)</f>
        <v>n.v.t.</v>
      </c>
      <c r="J156" s="585">
        <v>4.7</v>
      </c>
      <c r="K156" s="433">
        <f t="shared" si="10"/>
        <v>0</v>
      </c>
      <c r="L156" s="433">
        <f t="shared" si="11"/>
        <v>0</v>
      </c>
      <c r="M156" s="433">
        <f t="shared" si="12"/>
        <v>0</v>
      </c>
      <c r="N156" s="672"/>
      <c r="O156" s="729">
        <f>IF(N156="",0,N156*K156/'9b-Vloeronderhoud'!$F$4)</f>
        <v>0</v>
      </c>
      <c r="P156" s="672"/>
      <c r="Q156" s="729" t="e">
        <f>IF(O156="",0,P156*L156/'9b-Vloeronderhoud'!$F$6)</f>
        <v>#DIV/0!</v>
      </c>
      <c r="R156" s="449">
        <v>1</v>
      </c>
      <c r="S156" s="672">
        <v>190</v>
      </c>
      <c r="T156" s="161" t="e">
        <f t="shared" si="13"/>
        <v>#DIV/0!</v>
      </c>
      <c r="U156" s="162">
        <f>IF(S156="nio",0,IF(S156&gt;0,VLOOKUP(G156,'3-Productie normen'!A:K,VLOOKUP(S156,'3-Productie normen'!L:N,3,FALSE),FALSE)))</f>
        <v>0</v>
      </c>
      <c r="V156" s="162">
        <f>VLOOKUP(G156,'3-Productie normen'!A:K,10,FALSE)</f>
        <v>726.97999910354622</v>
      </c>
      <c r="W156" s="163">
        <f>VLOOKUP(G156,'3-Productie normen'!A:K,11,FALSE)</f>
        <v>0</v>
      </c>
      <c r="X156" s="163"/>
      <c r="Z156" s="129">
        <f t="shared" si="14"/>
        <v>893</v>
      </c>
    </row>
    <row r="157" spans="1:26" ht="14.1" customHeight="1">
      <c r="A157" s="144">
        <v>163</v>
      </c>
      <c r="B157" s="517" t="s">
        <v>245</v>
      </c>
      <c r="C157" s="517" t="s">
        <v>707</v>
      </c>
      <c r="D157" s="520" t="s">
        <v>98</v>
      </c>
      <c r="E157" s="701" t="s">
        <v>698</v>
      </c>
      <c r="F157" s="515" t="s">
        <v>281</v>
      </c>
      <c r="G157" s="460" t="s">
        <v>881</v>
      </c>
      <c r="H157" s="516" t="s">
        <v>333</v>
      </c>
      <c r="I157" s="582" t="str">
        <f>VLOOKUP(H157,'9a-Typen vloeren'!$A$10:$B$40,2,FALSE)</f>
        <v>Schrobben</v>
      </c>
      <c r="J157" s="585">
        <v>1.9</v>
      </c>
      <c r="K157" s="433">
        <f t="shared" si="10"/>
        <v>0</v>
      </c>
      <c r="L157" s="433">
        <f t="shared" si="11"/>
        <v>0</v>
      </c>
      <c r="M157" s="433">
        <f t="shared" si="12"/>
        <v>0</v>
      </c>
      <c r="N157" s="672"/>
      <c r="O157" s="729">
        <f>IF(N157="",0,N157*K157/'9b-Vloeronderhoud'!$F$4)</f>
        <v>0</v>
      </c>
      <c r="P157" s="672"/>
      <c r="Q157" s="729" t="e">
        <f>IF(O157="",0,P157*L157/'9b-Vloeronderhoud'!$F$6)</f>
        <v>#DIV/0!</v>
      </c>
      <c r="R157" s="449">
        <v>1</v>
      </c>
      <c r="S157" s="672" t="s">
        <v>179</v>
      </c>
      <c r="T157" s="161">
        <f t="shared" si="13"/>
        <v>0</v>
      </c>
      <c r="U157" s="162">
        <f>IF(S157="nio",0,IF(S157&gt;0,VLOOKUP(G157,'3-Productie normen'!A:K,VLOOKUP(S157,'3-Productie normen'!L:N,3,FALSE),FALSE)))</f>
        <v>0</v>
      </c>
      <c r="V157" s="162">
        <f>VLOOKUP(G157,'3-Productie normen'!A:K,10,FALSE)</f>
        <v>5262.809993648526</v>
      </c>
      <c r="W157" s="163">
        <f>VLOOKUP(G157,'3-Productie normen'!A:K,11,FALSE)</f>
        <v>0</v>
      </c>
      <c r="X157" s="163"/>
      <c r="Z157" s="129">
        <f t="shared" si="14"/>
        <v>0</v>
      </c>
    </row>
    <row r="158" spans="1:26" ht="14.1" customHeight="1">
      <c r="A158" s="144">
        <v>164</v>
      </c>
      <c r="B158" s="517" t="s">
        <v>245</v>
      </c>
      <c r="C158" s="517" t="s">
        <v>707</v>
      </c>
      <c r="D158" s="520" t="s">
        <v>98</v>
      </c>
      <c r="E158" s="701" t="s">
        <v>699</v>
      </c>
      <c r="F158" s="516" t="s">
        <v>267</v>
      </c>
      <c r="G158" s="516" t="s">
        <v>18</v>
      </c>
      <c r="H158" s="303" t="s">
        <v>955</v>
      </c>
      <c r="I158" s="582" t="str">
        <f>VLOOKUP(H158,'9a-Typen vloeren'!$A$10:$B$40,2,FALSE)</f>
        <v>zie kwaliteitsontwerp</v>
      </c>
      <c r="J158" s="585">
        <v>5.0999999999999996</v>
      </c>
      <c r="K158" s="433">
        <f t="shared" si="10"/>
        <v>0</v>
      </c>
      <c r="L158" s="433">
        <f t="shared" si="11"/>
        <v>0</v>
      </c>
      <c r="M158" s="433">
        <f t="shared" si="12"/>
        <v>0</v>
      </c>
      <c r="N158" s="672"/>
      <c r="O158" s="729">
        <f>IF(N158="",0,N158*K158/'9b-Vloeronderhoud'!$F$4)</f>
        <v>0</v>
      </c>
      <c r="P158" s="672"/>
      <c r="Q158" s="729" t="e">
        <f>IF(O158="",0,P158*L158/'9b-Vloeronderhoud'!$F$6)</f>
        <v>#DIV/0!</v>
      </c>
      <c r="R158" s="449">
        <v>1</v>
      </c>
      <c r="S158" s="672">
        <v>190</v>
      </c>
      <c r="T158" s="161" t="e">
        <f t="shared" si="13"/>
        <v>#DIV/0!</v>
      </c>
      <c r="U158" s="162">
        <f>IF(S158="nio",0,IF(S158&gt;0,VLOOKUP(G158,'3-Productie normen'!A:K,VLOOKUP(S158,'3-Productie normen'!L:N,3,FALSE),FALSE)))</f>
        <v>0</v>
      </c>
      <c r="V158" s="162">
        <f>VLOOKUP(G158,'3-Productie normen'!A:K,10,FALSE)</f>
        <v>1859.5880019121171</v>
      </c>
      <c r="W158" s="163">
        <f>VLOOKUP(G158,'3-Productie normen'!A:K,11,FALSE)</f>
        <v>0</v>
      </c>
      <c r="X158" s="163"/>
      <c r="Z158" s="129">
        <f t="shared" si="14"/>
        <v>968.99999999999989</v>
      </c>
    </row>
    <row r="159" spans="1:26" ht="14.1" customHeight="1">
      <c r="A159" s="144">
        <v>165</v>
      </c>
      <c r="B159" s="517" t="s">
        <v>245</v>
      </c>
      <c r="C159" s="517" t="s">
        <v>707</v>
      </c>
      <c r="D159" s="520" t="s">
        <v>98</v>
      </c>
      <c r="E159" s="705" t="s">
        <v>700</v>
      </c>
      <c r="F159" s="516" t="s">
        <v>221</v>
      </c>
      <c r="G159" s="549" t="s">
        <v>221</v>
      </c>
      <c r="H159" s="516" t="s">
        <v>335</v>
      </c>
      <c r="I159" s="582" t="str">
        <f>VLOOKUP(H159,'9a-Typen vloeren'!$A$10:$B$40,2,FALSE)</f>
        <v>Schrobben</v>
      </c>
      <c r="J159" s="585">
        <v>62.5</v>
      </c>
      <c r="K159" s="433">
        <f t="shared" si="10"/>
        <v>0</v>
      </c>
      <c r="L159" s="433">
        <f t="shared" si="11"/>
        <v>62.5</v>
      </c>
      <c r="M159" s="433">
        <f t="shared" si="12"/>
        <v>0</v>
      </c>
      <c r="N159" s="672"/>
      <c r="O159" s="729">
        <f>IF(N159="",0,N159*K159/'9b-Vloeronderhoud'!$F$4)</f>
        <v>0</v>
      </c>
      <c r="P159" s="672"/>
      <c r="Q159" s="729" t="e">
        <f>IF(O159="",0,P159*L159/'9b-Vloeronderhoud'!$F$6)</f>
        <v>#DIV/0!</v>
      </c>
      <c r="R159" s="449">
        <v>1</v>
      </c>
      <c r="S159" s="672">
        <v>80</v>
      </c>
      <c r="T159" s="161" t="e">
        <f t="shared" si="13"/>
        <v>#DIV/0!</v>
      </c>
      <c r="U159" s="162">
        <f>IF(S159="nio",0,IF(S159&gt;0,VLOOKUP(G159,'3-Productie normen'!A:K,VLOOKUP(S159,'3-Productie normen'!L:N,3,FALSE),FALSE)))</f>
        <v>0</v>
      </c>
      <c r="V159" s="162">
        <f>VLOOKUP(G159,'3-Productie normen'!A:K,10,FALSE)</f>
        <v>16013.110036668773</v>
      </c>
      <c r="W159" s="163">
        <f>VLOOKUP(G159,'3-Productie normen'!A:K,11,FALSE)</f>
        <v>0</v>
      </c>
      <c r="X159" s="163"/>
      <c r="Z159" s="129">
        <f t="shared" si="14"/>
        <v>5000</v>
      </c>
    </row>
    <row r="160" spans="1:26" ht="14.1" customHeight="1">
      <c r="A160" s="144">
        <v>166</v>
      </c>
      <c r="B160" s="517" t="s">
        <v>245</v>
      </c>
      <c r="C160" s="517" t="s">
        <v>707</v>
      </c>
      <c r="D160" s="520" t="s">
        <v>98</v>
      </c>
      <c r="E160" s="701" t="s">
        <v>701</v>
      </c>
      <c r="F160" s="516" t="s">
        <v>282</v>
      </c>
      <c r="G160" s="460" t="s">
        <v>881</v>
      </c>
      <c r="H160" s="516" t="s">
        <v>564</v>
      </c>
      <c r="I160" s="582" t="str">
        <f>VLOOKUP(H160,'9a-Typen vloeren'!$A$10:$B$40,2,FALSE)</f>
        <v>Schrobben</v>
      </c>
      <c r="J160" s="585">
        <v>1.6</v>
      </c>
      <c r="K160" s="433">
        <f t="shared" si="10"/>
        <v>0</v>
      </c>
      <c r="L160" s="433">
        <f t="shared" si="11"/>
        <v>0</v>
      </c>
      <c r="M160" s="433">
        <f t="shared" si="12"/>
        <v>0</v>
      </c>
      <c r="N160" s="672"/>
      <c r="O160" s="729">
        <f>IF(N160="",0,N160*K160/'9b-Vloeronderhoud'!$F$4)</f>
        <v>0</v>
      </c>
      <c r="P160" s="672"/>
      <c r="Q160" s="729" t="e">
        <f>IF(O160="",0,P160*L160/'9b-Vloeronderhoud'!$F$6)</f>
        <v>#DIV/0!</v>
      </c>
      <c r="R160" s="449">
        <v>1</v>
      </c>
      <c r="S160" s="672" t="s">
        <v>179</v>
      </c>
      <c r="T160" s="161">
        <f t="shared" si="13"/>
        <v>0</v>
      </c>
      <c r="U160" s="162">
        <f>IF(S160="nio",0,IF(S160&gt;0,VLOOKUP(G160,'3-Productie normen'!A:K,VLOOKUP(S160,'3-Productie normen'!L:N,3,FALSE),FALSE)))</f>
        <v>0</v>
      </c>
      <c r="V160" s="162">
        <f>VLOOKUP(G160,'3-Productie normen'!A:K,10,FALSE)</f>
        <v>5262.809993648526</v>
      </c>
      <c r="W160" s="163">
        <f>VLOOKUP(G160,'3-Productie normen'!A:K,11,FALSE)</f>
        <v>0</v>
      </c>
      <c r="X160" s="163"/>
      <c r="Z160" s="129">
        <f t="shared" si="14"/>
        <v>0</v>
      </c>
    </row>
    <row r="161" spans="1:26" ht="14.1" customHeight="1">
      <c r="A161" s="144">
        <v>167</v>
      </c>
      <c r="B161" s="517" t="s">
        <v>245</v>
      </c>
      <c r="C161" s="517" t="s">
        <v>707</v>
      </c>
      <c r="D161" s="520" t="s">
        <v>98</v>
      </c>
      <c r="E161" s="701" t="s">
        <v>703</v>
      </c>
      <c r="F161" s="516" t="s">
        <v>282</v>
      </c>
      <c r="G161" s="460" t="s">
        <v>881</v>
      </c>
      <c r="H161" s="516" t="s">
        <v>564</v>
      </c>
      <c r="I161" s="582" t="str">
        <f>VLOOKUP(H161,'9a-Typen vloeren'!$A$10:$B$40,2,FALSE)</f>
        <v>Schrobben</v>
      </c>
      <c r="J161" s="585">
        <v>1.1000000000000001</v>
      </c>
      <c r="K161" s="433">
        <f t="shared" si="10"/>
        <v>0</v>
      </c>
      <c r="L161" s="433">
        <f t="shared" si="11"/>
        <v>0</v>
      </c>
      <c r="M161" s="433">
        <f t="shared" si="12"/>
        <v>0</v>
      </c>
      <c r="N161" s="672"/>
      <c r="O161" s="729">
        <f>IF(N161="",0,N161*K161/'9b-Vloeronderhoud'!$F$4)</f>
        <v>0</v>
      </c>
      <c r="P161" s="672"/>
      <c r="Q161" s="729" t="e">
        <f>IF(O161="",0,P161*L161/'9b-Vloeronderhoud'!$F$6)</f>
        <v>#DIV/0!</v>
      </c>
      <c r="R161" s="449">
        <v>1</v>
      </c>
      <c r="S161" s="672" t="s">
        <v>179</v>
      </c>
      <c r="T161" s="161">
        <f t="shared" si="13"/>
        <v>0</v>
      </c>
      <c r="U161" s="162">
        <f>IF(S161="nio",0,IF(S161&gt;0,VLOOKUP(G161,'3-Productie normen'!A:K,VLOOKUP(S161,'3-Productie normen'!L:N,3,FALSE),FALSE)))</f>
        <v>0</v>
      </c>
      <c r="V161" s="162">
        <f>VLOOKUP(G161,'3-Productie normen'!A:K,10,FALSE)</f>
        <v>5262.809993648526</v>
      </c>
      <c r="W161" s="163">
        <f>VLOOKUP(G161,'3-Productie normen'!A:K,11,FALSE)</f>
        <v>0</v>
      </c>
      <c r="X161" s="163"/>
      <c r="Z161" s="129">
        <f t="shared" si="14"/>
        <v>0</v>
      </c>
    </row>
    <row r="162" spans="1:26" ht="14.1" customHeight="1">
      <c r="A162" s="144">
        <v>168</v>
      </c>
      <c r="B162" s="517" t="s">
        <v>245</v>
      </c>
      <c r="C162" s="517" t="s">
        <v>707</v>
      </c>
      <c r="D162" s="520" t="s">
        <v>98</v>
      </c>
      <c r="E162" s="701" t="s">
        <v>704</v>
      </c>
      <c r="F162" s="516" t="s">
        <v>347</v>
      </c>
      <c r="G162" s="502" t="s">
        <v>347</v>
      </c>
      <c r="H162" s="516" t="s">
        <v>564</v>
      </c>
      <c r="I162" s="582" t="str">
        <f>VLOOKUP(H162,'9a-Typen vloeren'!$A$10:$B$40,2,FALSE)</f>
        <v>Schrobben</v>
      </c>
      <c r="J162" s="585">
        <v>84</v>
      </c>
      <c r="K162" s="433">
        <f t="shared" si="10"/>
        <v>0</v>
      </c>
      <c r="L162" s="433">
        <f t="shared" si="11"/>
        <v>84</v>
      </c>
      <c r="M162" s="433">
        <f t="shared" si="12"/>
        <v>0</v>
      </c>
      <c r="N162" s="672"/>
      <c r="O162" s="729">
        <f>IF(N162="",0,N162*K162/'9b-Vloeronderhoud'!$F$4)</f>
        <v>0</v>
      </c>
      <c r="P162" s="672">
        <v>3</v>
      </c>
      <c r="Q162" s="729" t="e">
        <f>IF(O162="",0,P162*L162/'9b-Vloeronderhoud'!$F$6)</f>
        <v>#DIV/0!</v>
      </c>
      <c r="R162" s="449">
        <v>1</v>
      </c>
      <c r="S162" s="672">
        <v>44</v>
      </c>
      <c r="T162" s="161" t="e">
        <f t="shared" si="13"/>
        <v>#DIV/0!</v>
      </c>
      <c r="U162" s="162">
        <f>IF(S162="nio",0,IF(S162&gt;0,VLOOKUP(G162,'3-Productie normen'!A:K,VLOOKUP(S162,'3-Productie normen'!L:N,3,FALSE),FALSE)))</f>
        <v>0</v>
      </c>
      <c r="V162" s="162">
        <f>VLOOKUP(G162,'3-Productie normen'!A:K,10,FALSE)</f>
        <v>1134.6299961853026</v>
      </c>
      <c r="W162" s="163">
        <f>VLOOKUP(G162,'3-Productie normen'!A:K,11,FALSE)</f>
        <v>0</v>
      </c>
      <c r="X162" s="163"/>
      <c r="Z162" s="129">
        <f t="shared" si="14"/>
        <v>3696</v>
      </c>
    </row>
    <row r="163" spans="1:26" ht="14.1" customHeight="1">
      <c r="A163" s="144">
        <v>169</v>
      </c>
      <c r="B163" s="517" t="s">
        <v>245</v>
      </c>
      <c r="C163" s="517" t="s">
        <v>707</v>
      </c>
      <c r="D163" s="520" t="s">
        <v>98</v>
      </c>
      <c r="E163" s="701" t="s">
        <v>705</v>
      </c>
      <c r="F163" s="516" t="s">
        <v>282</v>
      </c>
      <c r="G163" s="460" t="s">
        <v>881</v>
      </c>
      <c r="H163" s="516" t="s">
        <v>564</v>
      </c>
      <c r="I163" s="582" t="str">
        <f>VLOOKUP(H163,'9a-Typen vloeren'!$A$10:$B$40,2,FALSE)</f>
        <v>Schrobben</v>
      </c>
      <c r="J163" s="585">
        <v>8.1</v>
      </c>
      <c r="K163" s="433">
        <f t="shared" si="10"/>
        <v>0</v>
      </c>
      <c r="L163" s="433">
        <f t="shared" si="11"/>
        <v>0</v>
      </c>
      <c r="M163" s="433">
        <f t="shared" si="12"/>
        <v>0</v>
      </c>
      <c r="N163" s="672"/>
      <c r="O163" s="729">
        <f>IF(N163="",0,N163*K163/'9b-Vloeronderhoud'!$F$4)</f>
        <v>0</v>
      </c>
      <c r="P163" s="672"/>
      <c r="Q163" s="729" t="e">
        <f>IF(O163="",0,P163*L163/'9b-Vloeronderhoud'!$F$6)</f>
        <v>#DIV/0!</v>
      </c>
      <c r="R163" s="449">
        <v>1</v>
      </c>
      <c r="S163" s="672" t="s">
        <v>179</v>
      </c>
      <c r="T163" s="161">
        <f t="shared" si="13"/>
        <v>0</v>
      </c>
      <c r="U163" s="162">
        <f>IF(S163="nio",0,IF(S163&gt;0,VLOOKUP(G163,'3-Productie normen'!A:K,VLOOKUP(S163,'3-Productie normen'!L:N,3,FALSE),FALSE)))</f>
        <v>0</v>
      </c>
      <c r="V163" s="162">
        <f>VLOOKUP(G163,'3-Productie normen'!A:K,10,FALSE)</f>
        <v>5262.809993648526</v>
      </c>
      <c r="W163" s="163">
        <f>VLOOKUP(G163,'3-Productie normen'!A:K,11,FALSE)</f>
        <v>0</v>
      </c>
      <c r="X163" s="163"/>
      <c r="Z163" s="129">
        <f t="shared" si="14"/>
        <v>0</v>
      </c>
    </row>
    <row r="164" spans="1:26" ht="14.1" customHeight="1">
      <c r="A164" s="144">
        <v>170</v>
      </c>
      <c r="B164" s="517" t="s">
        <v>245</v>
      </c>
      <c r="C164" s="517" t="s">
        <v>707</v>
      </c>
      <c r="D164" s="520" t="s">
        <v>98</v>
      </c>
      <c r="E164" s="701" t="s">
        <v>706</v>
      </c>
      <c r="F164" s="516" t="s">
        <v>316</v>
      </c>
      <c r="G164" s="460" t="s">
        <v>881</v>
      </c>
      <c r="H164" s="516" t="s">
        <v>564</v>
      </c>
      <c r="I164" s="582" t="str">
        <f>VLOOKUP(H164,'9a-Typen vloeren'!$A$10:$B$40,2,FALSE)</f>
        <v>Schrobben</v>
      </c>
      <c r="J164" s="585">
        <v>6.7</v>
      </c>
      <c r="K164" s="433">
        <f t="shared" si="10"/>
        <v>0</v>
      </c>
      <c r="L164" s="433">
        <f t="shared" si="11"/>
        <v>0</v>
      </c>
      <c r="M164" s="433">
        <f t="shared" si="12"/>
        <v>0</v>
      </c>
      <c r="N164" s="672"/>
      <c r="O164" s="729">
        <f>IF(N164="",0,N164*K164/'9b-Vloeronderhoud'!$F$4)</f>
        <v>0</v>
      </c>
      <c r="P164" s="672"/>
      <c r="Q164" s="729" t="e">
        <f>IF(O164="",0,P164*L164/'9b-Vloeronderhoud'!$F$6)</f>
        <v>#DIV/0!</v>
      </c>
      <c r="R164" s="449">
        <v>1</v>
      </c>
      <c r="S164" s="672" t="s">
        <v>179</v>
      </c>
      <c r="T164" s="161">
        <f t="shared" si="13"/>
        <v>0</v>
      </c>
      <c r="U164" s="162">
        <f>IF(S164="nio",0,IF(S164&gt;0,VLOOKUP(G164,'3-Productie normen'!A:K,VLOOKUP(S164,'3-Productie normen'!L:N,3,FALSE),FALSE)))</f>
        <v>0</v>
      </c>
      <c r="V164" s="162">
        <f>VLOOKUP(G164,'3-Productie normen'!A:K,10,FALSE)</f>
        <v>5262.809993648526</v>
      </c>
      <c r="W164" s="163">
        <f>VLOOKUP(G164,'3-Productie normen'!A:K,11,FALSE)</f>
        <v>0</v>
      </c>
      <c r="X164" s="163"/>
      <c r="Z164" s="129">
        <f t="shared" si="14"/>
        <v>0</v>
      </c>
    </row>
    <row r="165" spans="1:26" ht="14.1" customHeight="1">
      <c r="A165" s="144">
        <v>171</v>
      </c>
      <c r="B165" s="517" t="s">
        <v>245</v>
      </c>
      <c r="C165" s="517" t="s">
        <v>707</v>
      </c>
      <c r="D165" s="520">
        <v>1</v>
      </c>
      <c r="E165" s="701" t="s">
        <v>351</v>
      </c>
      <c r="F165" s="516" t="s">
        <v>481</v>
      </c>
      <c r="G165" s="549" t="s">
        <v>287</v>
      </c>
      <c r="H165" s="160" t="s">
        <v>375</v>
      </c>
      <c r="I165" s="582" t="str">
        <f>VLOOKUP(H165,'9a-Typen vloeren'!$A$10:$B$40,2,FALSE)</f>
        <v>n.v.t.</v>
      </c>
      <c r="J165" s="587">
        <v>6</v>
      </c>
      <c r="K165" s="433">
        <f t="shared" si="10"/>
        <v>0</v>
      </c>
      <c r="L165" s="433">
        <f t="shared" si="11"/>
        <v>0</v>
      </c>
      <c r="M165" s="433">
        <f t="shared" si="12"/>
        <v>0</v>
      </c>
      <c r="N165" s="672"/>
      <c r="O165" s="729">
        <f>IF(N165="",0,N165*K165/'9b-Vloeronderhoud'!$F$4)</f>
        <v>0</v>
      </c>
      <c r="P165" s="672"/>
      <c r="Q165" s="729" t="e">
        <f>IF(O165="",0,P165*L165/'9b-Vloeronderhoud'!$F$6)</f>
        <v>#DIV/0!</v>
      </c>
      <c r="R165" s="449">
        <v>1</v>
      </c>
      <c r="S165" s="672">
        <v>80</v>
      </c>
      <c r="T165" s="161" t="e">
        <f t="shared" si="13"/>
        <v>#DIV/0!</v>
      </c>
      <c r="U165" s="162">
        <f>IF(S165="nio",0,IF(S165&gt;0,VLOOKUP(G165,'3-Productie normen'!A:K,VLOOKUP(S165,'3-Productie normen'!L:N,3,FALSE),FALSE)))</f>
        <v>0</v>
      </c>
      <c r="V165" s="162">
        <f>VLOOKUP(G165,'3-Productie normen'!A:K,10,FALSE)</f>
        <v>519.460002565384</v>
      </c>
      <c r="W165" s="163">
        <f>VLOOKUP(G165,'3-Productie normen'!A:K,11,FALSE)</f>
        <v>0</v>
      </c>
      <c r="X165" s="163"/>
      <c r="Z165" s="129">
        <f t="shared" si="14"/>
        <v>480</v>
      </c>
    </row>
    <row r="166" spans="1:26" ht="14.1" customHeight="1">
      <c r="A166" s="144">
        <v>172</v>
      </c>
      <c r="B166" s="517" t="s">
        <v>245</v>
      </c>
      <c r="C166" s="517" t="s">
        <v>707</v>
      </c>
      <c r="D166" s="520">
        <v>1</v>
      </c>
      <c r="E166" s="701" t="s">
        <v>352</v>
      </c>
      <c r="F166" s="516" t="s">
        <v>221</v>
      </c>
      <c r="G166" s="549" t="s">
        <v>221</v>
      </c>
      <c r="H166" s="516" t="s">
        <v>100</v>
      </c>
      <c r="I166" s="582" t="str">
        <f>VLOOKUP(H166,'9a-Typen vloeren'!$A$10:$B$40,2,FALSE)</f>
        <v>Sprayen/ conserveren</v>
      </c>
      <c r="J166" s="585">
        <v>50.7</v>
      </c>
      <c r="K166" s="433">
        <f t="shared" si="10"/>
        <v>50.7</v>
      </c>
      <c r="L166" s="433">
        <f t="shared" si="11"/>
        <v>0</v>
      </c>
      <c r="M166" s="433">
        <f t="shared" si="12"/>
        <v>0</v>
      </c>
      <c r="N166" s="672"/>
      <c r="O166" s="729">
        <f>IF(N166="",0,N166*K166/'9b-Vloeronderhoud'!$F$4)</f>
        <v>0</v>
      </c>
      <c r="P166" s="672"/>
      <c r="Q166" s="729" t="e">
        <f>IF(O166="",0,P166*L166/'9b-Vloeronderhoud'!$F$6)</f>
        <v>#DIV/0!</v>
      </c>
      <c r="R166" s="449">
        <v>1</v>
      </c>
      <c r="S166" s="672">
        <v>80</v>
      </c>
      <c r="T166" s="161" t="e">
        <f t="shared" si="13"/>
        <v>#DIV/0!</v>
      </c>
      <c r="U166" s="162">
        <f>IF(S166="nio",0,IF(S166&gt;0,VLOOKUP(G166,'3-Productie normen'!A:K,VLOOKUP(S166,'3-Productie normen'!L:N,3,FALSE),FALSE)))</f>
        <v>0</v>
      </c>
      <c r="V166" s="162">
        <f>VLOOKUP(G166,'3-Productie normen'!A:K,10,FALSE)</f>
        <v>16013.110036668773</v>
      </c>
      <c r="W166" s="163">
        <f>VLOOKUP(G166,'3-Productie normen'!A:K,11,FALSE)</f>
        <v>0</v>
      </c>
      <c r="X166" s="163"/>
      <c r="Z166" s="129">
        <f t="shared" si="14"/>
        <v>4056</v>
      </c>
    </row>
    <row r="167" spans="1:26" ht="14.1" customHeight="1">
      <c r="A167" s="144">
        <v>173</v>
      </c>
      <c r="B167" s="485" t="s">
        <v>240</v>
      </c>
      <c r="C167" s="490" t="s">
        <v>632</v>
      </c>
      <c r="D167" s="304" t="s">
        <v>98</v>
      </c>
      <c r="E167" s="702" t="s">
        <v>326</v>
      </c>
      <c r="F167" s="160" t="s">
        <v>283</v>
      </c>
      <c r="G167" s="122" t="s">
        <v>286</v>
      </c>
      <c r="H167" s="524" t="s">
        <v>100</v>
      </c>
      <c r="I167" s="582" t="str">
        <f>VLOOKUP(H167,'9a-Typen vloeren'!$A$10:$B$40,2,FALSE)</f>
        <v>Sprayen/ conserveren</v>
      </c>
      <c r="J167" s="586">
        <v>34.299999999999997</v>
      </c>
      <c r="K167" s="433">
        <f t="shared" si="10"/>
        <v>34.299999999999997</v>
      </c>
      <c r="L167" s="433">
        <f t="shared" si="11"/>
        <v>0</v>
      </c>
      <c r="M167" s="433">
        <f t="shared" si="12"/>
        <v>0</v>
      </c>
      <c r="N167" s="672">
        <v>2</v>
      </c>
      <c r="O167" s="729" t="e">
        <f>IF(N167="",0,N167*K167/'9b-Vloeronderhoud'!$F$4)</f>
        <v>#DIV/0!</v>
      </c>
      <c r="P167" s="672"/>
      <c r="Q167" s="729" t="e">
        <f>IF(O167="",0,P167*L167/'9b-Vloeronderhoud'!$F$6)</f>
        <v>#DIV/0!</v>
      </c>
      <c r="R167" s="449">
        <v>1</v>
      </c>
      <c r="S167" s="672">
        <v>120</v>
      </c>
      <c r="T167" s="161" t="e">
        <f t="shared" si="13"/>
        <v>#DIV/0!</v>
      </c>
      <c r="U167" s="162">
        <f>IF(S167="nio",0,IF(S167&gt;0,VLOOKUP(G167,'3-Productie normen'!A:K,VLOOKUP(S167,'3-Productie normen'!L:N,3,FALSE),FALSE)))</f>
        <v>0</v>
      </c>
      <c r="V167" s="162">
        <f>VLOOKUP(G167,'3-Productie normen'!A:K,10,FALSE)</f>
        <v>6152.9500017547598</v>
      </c>
      <c r="W167" s="163">
        <f>VLOOKUP(G167,'3-Productie normen'!A:K,11,FALSE)</f>
        <v>0</v>
      </c>
      <c r="X167" s="163"/>
      <c r="Z167" s="129">
        <f t="shared" si="14"/>
        <v>4116</v>
      </c>
    </row>
    <row r="168" spans="1:26" ht="14.1" customHeight="1">
      <c r="A168" s="144">
        <v>174</v>
      </c>
      <c r="B168" s="485" t="s">
        <v>240</v>
      </c>
      <c r="C168" s="490" t="s">
        <v>632</v>
      </c>
      <c r="D168" s="304" t="s">
        <v>98</v>
      </c>
      <c r="E168" s="702" t="s">
        <v>323</v>
      </c>
      <c r="F168" s="165" t="s">
        <v>283</v>
      </c>
      <c r="G168" s="532" t="s">
        <v>286</v>
      </c>
      <c r="H168" s="524" t="s">
        <v>100</v>
      </c>
      <c r="I168" s="582" t="str">
        <f>VLOOKUP(H168,'9a-Typen vloeren'!$A$10:$B$40,2,FALSE)</f>
        <v>Sprayen/ conserveren</v>
      </c>
      <c r="J168" s="586">
        <v>16.100000000000001</v>
      </c>
      <c r="K168" s="433">
        <f t="shared" si="10"/>
        <v>16.100000000000001</v>
      </c>
      <c r="L168" s="433">
        <f t="shared" si="11"/>
        <v>0</v>
      </c>
      <c r="M168" s="433">
        <f t="shared" si="12"/>
        <v>0</v>
      </c>
      <c r="N168" s="672">
        <v>2</v>
      </c>
      <c r="O168" s="729" t="e">
        <f>IF(N168="",0,N168*K168/'9b-Vloeronderhoud'!$F$4)</f>
        <v>#DIV/0!</v>
      </c>
      <c r="P168" s="672"/>
      <c r="Q168" s="729" t="e">
        <f>IF(O168="",0,P168*L168/'9b-Vloeronderhoud'!$F$6)</f>
        <v>#DIV/0!</v>
      </c>
      <c r="R168" s="449">
        <v>1</v>
      </c>
      <c r="S168" s="672">
        <v>120</v>
      </c>
      <c r="T168" s="161" t="e">
        <f t="shared" si="13"/>
        <v>#DIV/0!</v>
      </c>
      <c r="U168" s="162">
        <f>IF(S168="nio",0,IF(S168&gt;0,VLOOKUP(G168,'3-Productie normen'!A:K,VLOOKUP(S168,'3-Productie normen'!L:N,3,FALSE),FALSE)))</f>
        <v>0</v>
      </c>
      <c r="V168" s="162">
        <f>VLOOKUP(G168,'3-Productie normen'!A:K,10,FALSE)</f>
        <v>6152.9500017547598</v>
      </c>
      <c r="W168" s="163">
        <f>VLOOKUP(G168,'3-Productie normen'!A:K,11,FALSE)</f>
        <v>0</v>
      </c>
      <c r="X168" s="163"/>
      <c r="Z168" s="129">
        <f t="shared" si="14"/>
        <v>1932.0000000000002</v>
      </c>
    </row>
    <row r="169" spans="1:26" ht="14.1" customHeight="1">
      <c r="A169" s="144">
        <v>175</v>
      </c>
      <c r="B169" s="485" t="s">
        <v>240</v>
      </c>
      <c r="C169" s="490" t="s">
        <v>632</v>
      </c>
      <c r="D169" s="304" t="s">
        <v>98</v>
      </c>
      <c r="E169" s="702" t="s">
        <v>325</v>
      </c>
      <c r="F169" s="160" t="s">
        <v>221</v>
      </c>
      <c r="G169" s="546" t="s">
        <v>221</v>
      </c>
      <c r="H169" s="557" t="s">
        <v>100</v>
      </c>
      <c r="I169" s="582" t="str">
        <f>VLOOKUP(H169,'9a-Typen vloeren'!$A$10:$B$40,2,FALSE)</f>
        <v>Sprayen/ conserveren</v>
      </c>
      <c r="J169" s="586">
        <v>56.8</v>
      </c>
      <c r="K169" s="433">
        <f t="shared" si="10"/>
        <v>56.8</v>
      </c>
      <c r="L169" s="433">
        <f t="shared" si="11"/>
        <v>0</v>
      </c>
      <c r="M169" s="433">
        <f t="shared" si="12"/>
        <v>0</v>
      </c>
      <c r="N169" s="672"/>
      <c r="O169" s="729">
        <f>IF(N169="",0,N169*K169/'9b-Vloeronderhoud'!$F$4)</f>
        <v>0</v>
      </c>
      <c r="P169" s="672"/>
      <c r="Q169" s="729" t="e">
        <f>IF(O169="",0,P169*L169/'9b-Vloeronderhoud'!$F$6)</f>
        <v>#DIV/0!</v>
      </c>
      <c r="R169" s="449">
        <v>1</v>
      </c>
      <c r="S169" s="672">
        <v>80</v>
      </c>
      <c r="T169" s="161" t="e">
        <f t="shared" si="13"/>
        <v>#DIV/0!</v>
      </c>
      <c r="U169" s="162">
        <f>IF(S169="nio",0,IF(S169&gt;0,VLOOKUP(G169,'3-Productie normen'!A:K,VLOOKUP(S169,'3-Productie normen'!L:N,3,FALSE),FALSE)))</f>
        <v>0</v>
      </c>
      <c r="V169" s="162">
        <f>VLOOKUP(G169,'3-Productie normen'!A:K,10,FALSE)</f>
        <v>16013.110036668773</v>
      </c>
      <c r="W169" s="163">
        <f>VLOOKUP(G169,'3-Productie normen'!A:K,11,FALSE)</f>
        <v>0</v>
      </c>
      <c r="X169" s="163"/>
      <c r="Z169" s="129">
        <f t="shared" si="14"/>
        <v>4544</v>
      </c>
    </row>
    <row r="170" spans="1:26" ht="14.1" customHeight="1">
      <c r="A170" s="144">
        <v>176</v>
      </c>
      <c r="B170" s="485" t="s">
        <v>240</v>
      </c>
      <c r="C170" s="490" t="s">
        <v>632</v>
      </c>
      <c r="D170" s="304" t="s">
        <v>98</v>
      </c>
      <c r="E170" s="702" t="s">
        <v>321</v>
      </c>
      <c r="F170" s="160" t="s">
        <v>267</v>
      </c>
      <c r="G170" s="303" t="s">
        <v>18</v>
      </c>
      <c r="H170" s="524" t="s">
        <v>966</v>
      </c>
      <c r="I170" s="582" t="str">
        <f>VLOOKUP(H170,'9a-Typen vloeren'!$A$10:$B$40,2,FALSE)</f>
        <v>zie kwaliteitsontwerp</v>
      </c>
      <c r="J170" s="586">
        <v>6.5</v>
      </c>
      <c r="K170" s="433">
        <f t="shared" si="10"/>
        <v>0</v>
      </c>
      <c r="L170" s="433">
        <f t="shared" si="11"/>
        <v>0</v>
      </c>
      <c r="M170" s="433">
        <f t="shared" si="12"/>
        <v>0</v>
      </c>
      <c r="N170" s="672"/>
      <c r="O170" s="729">
        <f>IF(N170="",0,N170*K170/'9b-Vloeronderhoud'!$F$4)</f>
        <v>0</v>
      </c>
      <c r="P170" s="672"/>
      <c r="Q170" s="729" t="e">
        <f>IF(O170="",0,P170*L170/'9b-Vloeronderhoud'!$F$6)</f>
        <v>#DIV/0!</v>
      </c>
      <c r="R170" s="449">
        <v>1</v>
      </c>
      <c r="S170" s="672">
        <v>190</v>
      </c>
      <c r="T170" s="161" t="e">
        <f t="shared" si="13"/>
        <v>#DIV/0!</v>
      </c>
      <c r="U170" s="162">
        <f>IF(S170="nio",0,IF(S170&gt;0,VLOOKUP(G170,'3-Productie normen'!A:K,VLOOKUP(S170,'3-Productie normen'!L:N,3,FALSE),FALSE)))</f>
        <v>0</v>
      </c>
      <c r="V170" s="162">
        <f>VLOOKUP(G170,'3-Productie normen'!A:K,10,FALSE)</f>
        <v>1859.5880019121171</v>
      </c>
      <c r="W170" s="163">
        <f>VLOOKUP(G170,'3-Productie normen'!A:K,11,FALSE)</f>
        <v>0</v>
      </c>
      <c r="X170" s="163"/>
      <c r="Z170" s="129">
        <f t="shared" si="14"/>
        <v>1235</v>
      </c>
    </row>
    <row r="171" spans="1:26" ht="14.1" customHeight="1">
      <c r="A171" s="144">
        <v>177</v>
      </c>
      <c r="B171" s="485" t="s">
        <v>240</v>
      </c>
      <c r="C171" s="490" t="s">
        <v>632</v>
      </c>
      <c r="D171" s="304" t="s">
        <v>98</v>
      </c>
      <c r="E171" s="702" t="s">
        <v>322</v>
      </c>
      <c r="F171" s="160" t="s">
        <v>382</v>
      </c>
      <c r="G171" s="460" t="s">
        <v>881</v>
      </c>
      <c r="H171" s="524" t="s">
        <v>100</v>
      </c>
      <c r="I171" s="582" t="str">
        <f>VLOOKUP(H171,'9a-Typen vloeren'!$A$10:$B$40,2,FALSE)</f>
        <v>Sprayen/ conserveren</v>
      </c>
      <c r="J171" s="586">
        <v>2.1</v>
      </c>
      <c r="K171" s="433">
        <f t="shared" si="10"/>
        <v>0</v>
      </c>
      <c r="L171" s="433">
        <f t="shared" si="11"/>
        <v>0</v>
      </c>
      <c r="M171" s="433">
        <f t="shared" si="12"/>
        <v>0</v>
      </c>
      <c r="N171" s="672"/>
      <c r="O171" s="729">
        <f>IF(N171="",0,N171*K171/'9b-Vloeronderhoud'!$F$4)</f>
        <v>0</v>
      </c>
      <c r="P171" s="672"/>
      <c r="Q171" s="729" t="e">
        <f>IF(O171="",0,P171*L171/'9b-Vloeronderhoud'!$F$6)</f>
        <v>#DIV/0!</v>
      </c>
      <c r="R171" s="449">
        <v>1</v>
      </c>
      <c r="S171" s="672" t="s">
        <v>179</v>
      </c>
      <c r="T171" s="161">
        <f t="shared" si="13"/>
        <v>0</v>
      </c>
      <c r="U171" s="162">
        <f>IF(S171="nio",0,IF(S171&gt;0,VLOOKUP(G171,'3-Productie normen'!A:K,VLOOKUP(S171,'3-Productie normen'!L:N,3,FALSE),FALSE)))</f>
        <v>0</v>
      </c>
      <c r="V171" s="162">
        <f>VLOOKUP(G171,'3-Productie normen'!A:K,10,FALSE)</f>
        <v>5262.809993648526</v>
      </c>
      <c r="W171" s="163">
        <f>VLOOKUP(G171,'3-Productie normen'!A:K,11,FALSE)</f>
        <v>0</v>
      </c>
      <c r="X171" s="163"/>
      <c r="Z171" s="129">
        <f t="shared" si="14"/>
        <v>0</v>
      </c>
    </row>
    <row r="172" spans="1:26" ht="14.1" customHeight="1">
      <c r="A172" s="144">
        <v>178</v>
      </c>
      <c r="B172" s="485" t="s">
        <v>240</v>
      </c>
      <c r="C172" s="490" t="s">
        <v>632</v>
      </c>
      <c r="D172" s="304" t="s">
        <v>98</v>
      </c>
      <c r="E172" s="702" t="s">
        <v>320</v>
      </c>
      <c r="F172" s="160" t="s">
        <v>267</v>
      </c>
      <c r="G172" s="122" t="s">
        <v>18</v>
      </c>
      <c r="H172" s="524" t="s">
        <v>966</v>
      </c>
      <c r="I172" s="582" t="str">
        <f>VLOOKUP(H172,'9a-Typen vloeren'!$A$10:$B$40,2,FALSE)</f>
        <v>zie kwaliteitsontwerp</v>
      </c>
      <c r="J172" s="586">
        <v>6.5</v>
      </c>
      <c r="K172" s="433">
        <f t="shared" si="10"/>
        <v>0</v>
      </c>
      <c r="L172" s="433">
        <f t="shared" si="11"/>
        <v>0</v>
      </c>
      <c r="M172" s="433">
        <f t="shared" si="12"/>
        <v>0</v>
      </c>
      <c r="N172" s="672"/>
      <c r="O172" s="729">
        <f>IF(N172="",0,N172*K172/'9b-Vloeronderhoud'!$F$4)</f>
        <v>0</v>
      </c>
      <c r="P172" s="672"/>
      <c r="Q172" s="729" t="e">
        <f>IF(O172="",0,P172*L172/'9b-Vloeronderhoud'!$F$6)</f>
        <v>#DIV/0!</v>
      </c>
      <c r="R172" s="449">
        <v>1</v>
      </c>
      <c r="S172" s="672">
        <v>190</v>
      </c>
      <c r="T172" s="161" t="e">
        <f t="shared" si="13"/>
        <v>#DIV/0!</v>
      </c>
      <c r="U172" s="162">
        <f>IF(S172="nio",0,IF(S172&gt;0,VLOOKUP(G172,'3-Productie normen'!A:K,VLOOKUP(S172,'3-Productie normen'!L:N,3,FALSE),FALSE)))</f>
        <v>0</v>
      </c>
      <c r="V172" s="162">
        <f>VLOOKUP(G172,'3-Productie normen'!A:K,10,FALSE)</f>
        <v>1859.5880019121171</v>
      </c>
      <c r="W172" s="163">
        <f>VLOOKUP(G172,'3-Productie normen'!A:K,11,FALSE)</f>
        <v>0</v>
      </c>
      <c r="X172" s="163"/>
      <c r="Z172" s="129">
        <f t="shared" si="14"/>
        <v>1235</v>
      </c>
    </row>
    <row r="173" spans="1:26" ht="14.1" customHeight="1">
      <c r="A173" s="144">
        <v>179</v>
      </c>
      <c r="B173" s="485" t="s">
        <v>240</v>
      </c>
      <c r="C173" s="490" t="s">
        <v>632</v>
      </c>
      <c r="D173" s="304" t="s">
        <v>98</v>
      </c>
      <c r="E173" s="702" t="s">
        <v>633</v>
      </c>
      <c r="F173" s="160" t="s">
        <v>382</v>
      </c>
      <c r="G173" s="460" t="s">
        <v>881</v>
      </c>
      <c r="H173" s="524" t="s">
        <v>100</v>
      </c>
      <c r="I173" s="582" t="str">
        <f>VLOOKUP(H173,'9a-Typen vloeren'!$A$10:$B$40,2,FALSE)</f>
        <v>Sprayen/ conserveren</v>
      </c>
      <c r="J173" s="586">
        <v>2.1</v>
      </c>
      <c r="K173" s="433">
        <f t="shared" si="10"/>
        <v>0</v>
      </c>
      <c r="L173" s="433">
        <f t="shared" si="11"/>
        <v>0</v>
      </c>
      <c r="M173" s="433">
        <f t="shared" si="12"/>
        <v>0</v>
      </c>
      <c r="N173" s="672"/>
      <c r="O173" s="729">
        <f>IF(N173="",0,N173*K173/'9b-Vloeronderhoud'!$F$4)</f>
        <v>0</v>
      </c>
      <c r="P173" s="672"/>
      <c r="Q173" s="729" t="e">
        <f>IF(O173="",0,P173*L173/'9b-Vloeronderhoud'!$F$6)</f>
        <v>#DIV/0!</v>
      </c>
      <c r="R173" s="449">
        <v>1</v>
      </c>
      <c r="S173" s="672" t="s">
        <v>179</v>
      </c>
      <c r="T173" s="161">
        <f t="shared" si="13"/>
        <v>0</v>
      </c>
      <c r="U173" s="162">
        <f>IF(S173="nio",0,IF(S173&gt;0,VLOOKUP(G173,'3-Productie normen'!A:K,VLOOKUP(S173,'3-Productie normen'!L:N,3,FALSE),FALSE)))</f>
        <v>0</v>
      </c>
      <c r="V173" s="162">
        <f>VLOOKUP(G173,'3-Productie normen'!A:K,10,FALSE)</f>
        <v>5262.809993648526</v>
      </c>
      <c r="W173" s="163">
        <f>VLOOKUP(G173,'3-Productie normen'!A:K,11,FALSE)</f>
        <v>0</v>
      </c>
      <c r="X173" s="163"/>
      <c r="Z173" s="129">
        <f t="shared" si="14"/>
        <v>0</v>
      </c>
    </row>
    <row r="174" spans="1:26" ht="14.1" customHeight="1">
      <c r="A174" s="144">
        <v>180</v>
      </c>
      <c r="B174" s="485" t="s">
        <v>240</v>
      </c>
      <c r="C174" s="490" t="s">
        <v>632</v>
      </c>
      <c r="D174" s="304" t="s">
        <v>98</v>
      </c>
      <c r="E174" s="702" t="s">
        <v>319</v>
      </c>
      <c r="F174" s="160" t="s">
        <v>634</v>
      </c>
      <c r="G174" s="122" t="s">
        <v>287</v>
      </c>
      <c r="H174" s="524" t="s">
        <v>100</v>
      </c>
      <c r="I174" s="582" t="str">
        <f>VLOOKUP(H174,'9a-Typen vloeren'!$A$10:$B$40,2,FALSE)</f>
        <v>Sprayen/ conserveren</v>
      </c>
      <c r="J174" s="586">
        <v>30.3</v>
      </c>
      <c r="K174" s="433">
        <f t="shared" si="10"/>
        <v>30.3</v>
      </c>
      <c r="L174" s="433">
        <f t="shared" si="11"/>
        <v>0</v>
      </c>
      <c r="M174" s="433">
        <f t="shared" si="12"/>
        <v>0</v>
      </c>
      <c r="N174" s="672">
        <v>2</v>
      </c>
      <c r="O174" s="729" t="e">
        <f>IF(N174="",0,N174*K174/'9b-Vloeronderhoud'!$F$4)</f>
        <v>#DIV/0!</v>
      </c>
      <c r="P174" s="672"/>
      <c r="Q174" s="729" t="e">
        <f>IF(O174="",0,P174*L174/'9b-Vloeronderhoud'!$F$6)</f>
        <v>#DIV/0!</v>
      </c>
      <c r="R174" s="449">
        <v>1</v>
      </c>
      <c r="S174" s="672">
        <v>80</v>
      </c>
      <c r="T174" s="161" t="e">
        <f t="shared" si="13"/>
        <v>#DIV/0!</v>
      </c>
      <c r="U174" s="162">
        <f>IF(S174="nio",0,IF(S174&gt;0,VLOOKUP(G174,'3-Productie normen'!A:K,VLOOKUP(S174,'3-Productie normen'!L:N,3,FALSE),FALSE)))</f>
        <v>0</v>
      </c>
      <c r="V174" s="162">
        <f>VLOOKUP(G174,'3-Productie normen'!A:K,10,FALSE)</f>
        <v>519.460002565384</v>
      </c>
      <c r="W174" s="163">
        <f>VLOOKUP(G174,'3-Productie normen'!A:K,11,FALSE)</f>
        <v>0</v>
      </c>
      <c r="X174" s="163"/>
      <c r="Z174" s="129">
        <f t="shared" si="14"/>
        <v>2424</v>
      </c>
    </row>
    <row r="175" spans="1:26" ht="14.1" customHeight="1">
      <c r="A175" s="144">
        <v>181</v>
      </c>
      <c r="B175" s="485" t="s">
        <v>240</v>
      </c>
      <c r="C175" s="490" t="s">
        <v>632</v>
      </c>
      <c r="D175" s="304" t="s">
        <v>98</v>
      </c>
      <c r="E175" s="702" t="s">
        <v>318</v>
      </c>
      <c r="F175" s="160" t="s">
        <v>221</v>
      </c>
      <c r="G175" s="546" t="s">
        <v>221</v>
      </c>
      <c r="H175" s="524" t="s">
        <v>100</v>
      </c>
      <c r="I175" s="582" t="str">
        <f>VLOOKUP(H175,'9a-Typen vloeren'!$A$10:$B$40,2,FALSE)</f>
        <v>Sprayen/ conserveren</v>
      </c>
      <c r="J175" s="586">
        <v>56.8</v>
      </c>
      <c r="K175" s="433">
        <f t="shared" si="10"/>
        <v>56.8</v>
      </c>
      <c r="L175" s="433">
        <f t="shared" si="11"/>
        <v>0</v>
      </c>
      <c r="M175" s="433">
        <f t="shared" si="12"/>
        <v>0</v>
      </c>
      <c r="N175" s="672"/>
      <c r="O175" s="729">
        <f>IF(N175="",0,N175*K175/'9b-Vloeronderhoud'!$F$4)</f>
        <v>0</v>
      </c>
      <c r="P175" s="672"/>
      <c r="Q175" s="729" t="e">
        <f>IF(O175="",0,P175*L175/'9b-Vloeronderhoud'!$F$6)</f>
        <v>#DIV/0!</v>
      </c>
      <c r="R175" s="449">
        <v>1</v>
      </c>
      <c r="S175" s="672">
        <v>80</v>
      </c>
      <c r="T175" s="161" t="e">
        <f t="shared" si="13"/>
        <v>#DIV/0!</v>
      </c>
      <c r="U175" s="162">
        <f>IF(S175="nio",0,IF(S175&gt;0,VLOOKUP(G175,'3-Productie normen'!A:K,VLOOKUP(S175,'3-Productie normen'!L:N,3,FALSE),FALSE)))</f>
        <v>0</v>
      </c>
      <c r="V175" s="162">
        <f>VLOOKUP(G175,'3-Productie normen'!A:K,10,FALSE)</f>
        <v>16013.110036668773</v>
      </c>
      <c r="W175" s="163">
        <f>VLOOKUP(G175,'3-Productie normen'!A:K,11,FALSE)</f>
        <v>0</v>
      </c>
      <c r="X175" s="163"/>
      <c r="Z175" s="129">
        <f t="shared" si="14"/>
        <v>4544</v>
      </c>
    </row>
    <row r="176" spans="1:26" ht="14.1" customHeight="1">
      <c r="A176" s="144">
        <v>182</v>
      </c>
      <c r="B176" s="485" t="s">
        <v>240</v>
      </c>
      <c r="C176" s="490" t="s">
        <v>632</v>
      </c>
      <c r="D176" s="304" t="s">
        <v>98</v>
      </c>
      <c r="E176" s="702" t="s">
        <v>317</v>
      </c>
      <c r="F176" s="160" t="s">
        <v>470</v>
      </c>
      <c r="G176" s="303" t="s">
        <v>221</v>
      </c>
      <c r="H176" s="524" t="s">
        <v>100</v>
      </c>
      <c r="I176" s="582" t="str">
        <f>VLOOKUP(H176,'9a-Typen vloeren'!$A$10:$B$40,2,FALSE)</f>
        <v>Sprayen/ conserveren</v>
      </c>
      <c r="J176" s="586">
        <v>56.8</v>
      </c>
      <c r="K176" s="433">
        <f t="shared" si="10"/>
        <v>56.8</v>
      </c>
      <c r="L176" s="433">
        <f t="shared" si="11"/>
        <v>0</v>
      </c>
      <c r="M176" s="433">
        <f t="shared" si="12"/>
        <v>0</v>
      </c>
      <c r="N176" s="672"/>
      <c r="O176" s="729">
        <f>IF(N176="",0,N176*K176/'9b-Vloeronderhoud'!$F$4)</f>
        <v>0</v>
      </c>
      <c r="P176" s="672"/>
      <c r="Q176" s="729" t="e">
        <f>IF(O176="",0,P176*L176/'9b-Vloeronderhoud'!$F$6)</f>
        <v>#DIV/0!</v>
      </c>
      <c r="R176" s="449">
        <v>1</v>
      </c>
      <c r="S176" s="688" t="s">
        <v>179</v>
      </c>
      <c r="T176" s="161">
        <f t="shared" si="13"/>
        <v>0</v>
      </c>
      <c r="U176" s="162">
        <f>IF(S176="nio",0,IF(S176&gt;0,VLOOKUP(G176,'3-Productie normen'!A:K,VLOOKUP(S176,'3-Productie normen'!L:N,3,FALSE),FALSE)))</f>
        <v>0</v>
      </c>
      <c r="V176" s="162">
        <f>VLOOKUP(G176,'3-Productie normen'!A:K,10,FALSE)</f>
        <v>16013.110036668773</v>
      </c>
      <c r="W176" s="163">
        <f>VLOOKUP(G176,'3-Productie normen'!A:K,11,FALSE)</f>
        <v>0</v>
      </c>
      <c r="X176" s="163"/>
      <c r="Z176" s="129">
        <f t="shared" si="14"/>
        <v>0</v>
      </c>
    </row>
    <row r="177" spans="1:26" ht="14.1" customHeight="1">
      <c r="A177" s="144">
        <v>183</v>
      </c>
      <c r="B177" s="485" t="s">
        <v>240</v>
      </c>
      <c r="C177" s="490" t="s">
        <v>632</v>
      </c>
      <c r="D177" s="304" t="s">
        <v>98</v>
      </c>
      <c r="E177" s="702" t="s">
        <v>315</v>
      </c>
      <c r="F177" s="165" t="s">
        <v>283</v>
      </c>
      <c r="G177" s="460" t="s">
        <v>286</v>
      </c>
      <c r="H177" s="524" t="s">
        <v>100</v>
      </c>
      <c r="I177" s="582" t="str">
        <f>VLOOKUP(H177,'9a-Typen vloeren'!$A$10:$B$40,2,FALSE)</f>
        <v>Sprayen/ conserveren</v>
      </c>
      <c r="J177" s="586">
        <v>32.5</v>
      </c>
      <c r="K177" s="433">
        <f t="shared" si="10"/>
        <v>32.5</v>
      </c>
      <c r="L177" s="433">
        <f t="shared" si="11"/>
        <v>0</v>
      </c>
      <c r="M177" s="433">
        <f t="shared" si="12"/>
        <v>0</v>
      </c>
      <c r="N177" s="672">
        <v>2</v>
      </c>
      <c r="O177" s="729" t="e">
        <f>IF(N177="",0,N177*K177/'9b-Vloeronderhoud'!$F$4)</f>
        <v>#DIV/0!</v>
      </c>
      <c r="P177" s="672"/>
      <c r="Q177" s="729" t="e">
        <f>IF(O177="",0,P177*L177/'9b-Vloeronderhoud'!$F$6)</f>
        <v>#DIV/0!</v>
      </c>
      <c r="R177" s="449">
        <v>1</v>
      </c>
      <c r="S177" s="672">
        <v>120</v>
      </c>
      <c r="T177" s="161" t="e">
        <f t="shared" si="13"/>
        <v>#DIV/0!</v>
      </c>
      <c r="U177" s="162">
        <f>IF(S177="nio",0,IF(S177&gt;0,VLOOKUP(G177,'3-Productie normen'!A:K,VLOOKUP(S177,'3-Productie normen'!L:N,3,FALSE),FALSE)))</f>
        <v>0</v>
      </c>
      <c r="V177" s="162">
        <f>VLOOKUP(G177,'3-Productie normen'!A:K,10,FALSE)</f>
        <v>6152.9500017547598</v>
      </c>
      <c r="W177" s="163">
        <f>VLOOKUP(G177,'3-Productie normen'!A:K,11,FALSE)</f>
        <v>0</v>
      </c>
      <c r="X177" s="163"/>
      <c r="Z177" s="129">
        <f t="shared" si="14"/>
        <v>3900</v>
      </c>
    </row>
    <row r="178" spans="1:26" ht="14.1" customHeight="1">
      <c r="A178" s="144">
        <v>184</v>
      </c>
      <c r="B178" s="485" t="s">
        <v>240</v>
      </c>
      <c r="C178" s="490" t="s">
        <v>632</v>
      </c>
      <c r="D178" s="304" t="s">
        <v>98</v>
      </c>
      <c r="E178" s="702" t="s">
        <v>314</v>
      </c>
      <c r="F178" s="160" t="s">
        <v>267</v>
      </c>
      <c r="G178" s="533" t="s">
        <v>18</v>
      </c>
      <c r="H178" s="524" t="s">
        <v>966</v>
      </c>
      <c r="I178" s="582" t="str">
        <f>VLOOKUP(H178,'9a-Typen vloeren'!$A$10:$B$40,2,FALSE)</f>
        <v>zie kwaliteitsontwerp</v>
      </c>
      <c r="J178" s="586">
        <v>6.5</v>
      </c>
      <c r="K178" s="433">
        <f t="shared" si="10"/>
        <v>0</v>
      </c>
      <c r="L178" s="433">
        <f t="shared" si="11"/>
        <v>0</v>
      </c>
      <c r="M178" s="433">
        <f t="shared" si="12"/>
        <v>0</v>
      </c>
      <c r="N178" s="672"/>
      <c r="O178" s="729">
        <f>IF(N178="",0,N178*K178/'9b-Vloeronderhoud'!$F$4)</f>
        <v>0</v>
      </c>
      <c r="P178" s="672"/>
      <c r="Q178" s="729" t="e">
        <f>IF(O178="",0,P178*L178/'9b-Vloeronderhoud'!$F$6)</f>
        <v>#DIV/0!</v>
      </c>
      <c r="R178" s="449">
        <v>1</v>
      </c>
      <c r="S178" s="672">
        <v>190</v>
      </c>
      <c r="T178" s="161" t="e">
        <f t="shared" si="13"/>
        <v>#DIV/0!</v>
      </c>
      <c r="U178" s="162">
        <f>IF(S178="nio",0,IF(S178&gt;0,VLOOKUP(G178,'3-Productie normen'!A:K,VLOOKUP(S178,'3-Productie normen'!L:N,3,FALSE),FALSE)))</f>
        <v>0</v>
      </c>
      <c r="V178" s="162">
        <f>VLOOKUP(G178,'3-Productie normen'!A:K,10,FALSE)</f>
        <v>1859.5880019121171</v>
      </c>
      <c r="W178" s="163">
        <f>VLOOKUP(G178,'3-Productie normen'!A:K,11,FALSE)</f>
        <v>0</v>
      </c>
      <c r="X178" s="163"/>
      <c r="Z178" s="129">
        <f t="shared" si="14"/>
        <v>1235</v>
      </c>
    </row>
    <row r="179" spans="1:26" ht="14.1" customHeight="1">
      <c r="A179" s="144">
        <v>185</v>
      </c>
      <c r="B179" s="485" t="s">
        <v>240</v>
      </c>
      <c r="C179" s="490" t="s">
        <v>632</v>
      </c>
      <c r="D179" s="304" t="s">
        <v>98</v>
      </c>
      <c r="E179" s="706" t="s">
        <v>518</v>
      </c>
      <c r="F179" s="168" t="s">
        <v>382</v>
      </c>
      <c r="G179" s="460" t="s">
        <v>881</v>
      </c>
      <c r="H179" s="524" t="s">
        <v>100</v>
      </c>
      <c r="I179" s="582" t="str">
        <f>VLOOKUP(H179,'9a-Typen vloeren'!$A$10:$B$40,2,FALSE)</f>
        <v>Sprayen/ conserveren</v>
      </c>
      <c r="J179" s="586">
        <v>2.1</v>
      </c>
      <c r="K179" s="433">
        <f t="shared" si="10"/>
        <v>0</v>
      </c>
      <c r="L179" s="433">
        <f t="shared" si="11"/>
        <v>0</v>
      </c>
      <c r="M179" s="433">
        <f t="shared" si="12"/>
        <v>0</v>
      </c>
      <c r="N179" s="672"/>
      <c r="O179" s="729">
        <f>IF(N179="",0,N179*K179/'9b-Vloeronderhoud'!$F$4)</f>
        <v>0</v>
      </c>
      <c r="P179" s="672"/>
      <c r="Q179" s="729" t="e">
        <f>IF(O179="",0,P179*L179/'9b-Vloeronderhoud'!$F$6)</f>
        <v>#DIV/0!</v>
      </c>
      <c r="R179" s="449">
        <v>1</v>
      </c>
      <c r="S179" s="672" t="s">
        <v>179</v>
      </c>
      <c r="T179" s="161">
        <f t="shared" si="13"/>
        <v>0</v>
      </c>
      <c r="U179" s="162">
        <f>IF(S179="nio",0,IF(S179&gt;0,VLOOKUP(G179,'3-Productie normen'!A:K,VLOOKUP(S179,'3-Productie normen'!L:N,3,FALSE),FALSE)))</f>
        <v>0</v>
      </c>
      <c r="V179" s="162">
        <f>VLOOKUP(G179,'3-Productie normen'!A:K,10,FALSE)</f>
        <v>5262.809993648526</v>
      </c>
      <c r="W179" s="163">
        <f>VLOOKUP(G179,'3-Productie normen'!A:K,11,FALSE)</f>
        <v>0</v>
      </c>
      <c r="X179" s="163"/>
      <c r="Z179" s="129">
        <f t="shared" si="14"/>
        <v>0</v>
      </c>
    </row>
    <row r="180" spans="1:26" ht="14.1" customHeight="1">
      <c r="A180" s="144">
        <v>186</v>
      </c>
      <c r="B180" s="485" t="s">
        <v>240</v>
      </c>
      <c r="C180" s="490" t="s">
        <v>632</v>
      </c>
      <c r="D180" s="304" t="s">
        <v>98</v>
      </c>
      <c r="E180" s="702" t="s">
        <v>312</v>
      </c>
      <c r="F180" s="160" t="s">
        <v>382</v>
      </c>
      <c r="G180" s="460" t="s">
        <v>881</v>
      </c>
      <c r="H180" s="524" t="s">
        <v>100</v>
      </c>
      <c r="I180" s="582" t="str">
        <f>VLOOKUP(H180,'9a-Typen vloeren'!$A$10:$B$40,2,FALSE)</f>
        <v>Sprayen/ conserveren</v>
      </c>
      <c r="J180" s="586">
        <v>8.8000000000000007</v>
      </c>
      <c r="K180" s="433">
        <f t="shared" si="10"/>
        <v>0</v>
      </c>
      <c r="L180" s="433">
        <f t="shared" si="11"/>
        <v>0</v>
      </c>
      <c r="M180" s="433">
        <f t="shared" si="12"/>
        <v>0</v>
      </c>
      <c r="N180" s="672"/>
      <c r="O180" s="729">
        <f>IF(N180="",0,N180*K180/'9b-Vloeronderhoud'!$F$4)</f>
        <v>0</v>
      </c>
      <c r="P180" s="672"/>
      <c r="Q180" s="729" t="e">
        <f>IF(O180="",0,P180*L180/'9b-Vloeronderhoud'!$F$6)</f>
        <v>#DIV/0!</v>
      </c>
      <c r="R180" s="449">
        <v>1</v>
      </c>
      <c r="S180" s="672" t="s">
        <v>179</v>
      </c>
      <c r="T180" s="161">
        <f t="shared" si="13"/>
        <v>0</v>
      </c>
      <c r="U180" s="162">
        <f>IF(S180="nio",0,IF(S180&gt;0,VLOOKUP(G180,'3-Productie normen'!A:K,VLOOKUP(S180,'3-Productie normen'!L:N,3,FALSE),FALSE)))</f>
        <v>0</v>
      </c>
      <c r="V180" s="162">
        <f>VLOOKUP(G180,'3-Productie normen'!A:K,10,FALSE)</f>
        <v>5262.809993648526</v>
      </c>
      <c r="W180" s="163">
        <f>VLOOKUP(G180,'3-Productie normen'!A:K,11,FALSE)</f>
        <v>0</v>
      </c>
      <c r="X180" s="163"/>
      <c r="Z180" s="129">
        <f t="shared" si="14"/>
        <v>0</v>
      </c>
    </row>
    <row r="181" spans="1:26" ht="14.1" customHeight="1">
      <c r="A181" s="144">
        <v>187</v>
      </c>
      <c r="B181" s="485" t="s">
        <v>240</v>
      </c>
      <c r="C181" s="490" t="s">
        <v>632</v>
      </c>
      <c r="D181" s="304" t="s">
        <v>98</v>
      </c>
      <c r="E181" s="702" t="s">
        <v>309</v>
      </c>
      <c r="F181" s="160" t="s">
        <v>288</v>
      </c>
      <c r="G181" s="122" t="s">
        <v>862</v>
      </c>
      <c r="H181" s="524" t="s">
        <v>734</v>
      </c>
      <c r="I181" s="582" t="str">
        <f>VLOOKUP(H181,'9a-Typen vloeren'!$A$10:$B$40,2,FALSE)</f>
        <v>Schrobben</v>
      </c>
      <c r="J181" s="586">
        <v>58.85</v>
      </c>
      <c r="K181" s="433">
        <f t="shared" si="10"/>
        <v>0</v>
      </c>
      <c r="L181" s="433">
        <f t="shared" si="11"/>
        <v>58.85</v>
      </c>
      <c r="M181" s="433">
        <f t="shared" si="12"/>
        <v>0</v>
      </c>
      <c r="N181" s="672"/>
      <c r="O181" s="729">
        <f>IF(N181="",0,N181*K181/'9b-Vloeronderhoud'!$F$4)</f>
        <v>0</v>
      </c>
      <c r="P181" s="672">
        <v>3</v>
      </c>
      <c r="Q181" s="729" t="e">
        <f>IF(O181="",0,P181*L181/'9b-Vloeronderhoud'!$F$6)</f>
        <v>#DIV/0!</v>
      </c>
      <c r="R181" s="449">
        <v>1</v>
      </c>
      <c r="S181" s="672">
        <v>120</v>
      </c>
      <c r="T181" s="161" t="e">
        <f t="shared" si="13"/>
        <v>#DIV/0!</v>
      </c>
      <c r="U181" s="162">
        <f>IF(S181="nio",0,IF(S181&gt;0,VLOOKUP(G181,'3-Productie normen'!A:K,VLOOKUP(S181,'3-Productie normen'!L:N,3,FALSE),FALSE)))</f>
        <v>0</v>
      </c>
      <c r="V181" s="162">
        <f>VLOOKUP(G181,'3-Productie normen'!A:K,10,FALSE)</f>
        <v>4374.9900215911857</v>
      </c>
      <c r="W181" s="163">
        <f>VLOOKUP(G181,'3-Productie normen'!A:K,11,FALSE)</f>
        <v>0</v>
      </c>
      <c r="X181" s="163"/>
      <c r="Z181" s="129">
        <f t="shared" si="14"/>
        <v>7062</v>
      </c>
    </row>
    <row r="182" spans="1:26" ht="14.1" customHeight="1">
      <c r="A182" s="144">
        <v>188</v>
      </c>
      <c r="B182" s="485" t="s">
        <v>240</v>
      </c>
      <c r="C182" s="490" t="s">
        <v>632</v>
      </c>
      <c r="D182" s="304" t="s">
        <v>98</v>
      </c>
      <c r="E182" s="702" t="s">
        <v>307</v>
      </c>
      <c r="F182" s="160" t="s">
        <v>288</v>
      </c>
      <c r="G182" s="546" t="s">
        <v>862</v>
      </c>
      <c r="H182" s="524" t="s">
        <v>734</v>
      </c>
      <c r="I182" s="582" t="str">
        <f>VLOOKUP(H182,'9a-Typen vloeren'!$A$10:$B$40,2,FALSE)</f>
        <v>Schrobben</v>
      </c>
      <c r="J182" s="586">
        <v>58.85</v>
      </c>
      <c r="K182" s="433">
        <f t="shared" si="10"/>
        <v>0</v>
      </c>
      <c r="L182" s="433">
        <f t="shared" si="11"/>
        <v>58.85</v>
      </c>
      <c r="M182" s="433">
        <f t="shared" si="12"/>
        <v>0</v>
      </c>
      <c r="N182" s="672"/>
      <c r="O182" s="729">
        <f>IF(N182="",0,N182*K182/'9b-Vloeronderhoud'!$F$4)</f>
        <v>0</v>
      </c>
      <c r="P182" s="672">
        <v>3</v>
      </c>
      <c r="Q182" s="729" t="e">
        <f>IF(O182="",0,P182*L182/'9b-Vloeronderhoud'!$F$6)</f>
        <v>#DIV/0!</v>
      </c>
      <c r="R182" s="449">
        <v>1</v>
      </c>
      <c r="S182" s="672">
        <v>120</v>
      </c>
      <c r="T182" s="161" t="e">
        <f t="shared" si="13"/>
        <v>#DIV/0!</v>
      </c>
      <c r="U182" s="162">
        <f>IF(S182="nio",0,IF(S182&gt;0,VLOOKUP(G182,'3-Productie normen'!A:K,VLOOKUP(S182,'3-Productie normen'!L:N,3,FALSE),FALSE)))</f>
        <v>0</v>
      </c>
      <c r="V182" s="162">
        <f>VLOOKUP(G182,'3-Productie normen'!A:K,10,FALSE)</f>
        <v>4374.9900215911857</v>
      </c>
      <c r="W182" s="163">
        <f>VLOOKUP(G182,'3-Productie normen'!A:K,11,FALSE)</f>
        <v>0</v>
      </c>
      <c r="X182" s="163"/>
      <c r="Z182" s="129">
        <f t="shared" si="14"/>
        <v>7062</v>
      </c>
    </row>
    <row r="183" spans="1:26" ht="14.1" customHeight="1">
      <c r="A183" s="144">
        <v>189</v>
      </c>
      <c r="B183" s="485" t="s">
        <v>240</v>
      </c>
      <c r="C183" s="490" t="s">
        <v>632</v>
      </c>
      <c r="D183" s="304" t="s">
        <v>98</v>
      </c>
      <c r="E183" s="702" t="s">
        <v>306</v>
      </c>
      <c r="F183" s="160" t="s">
        <v>470</v>
      </c>
      <c r="G183" s="546" t="s">
        <v>221</v>
      </c>
      <c r="H183" s="524" t="s">
        <v>100</v>
      </c>
      <c r="I183" s="582" t="str">
        <f>VLOOKUP(H183,'9a-Typen vloeren'!$A$10:$B$40,2,FALSE)</f>
        <v>Sprayen/ conserveren</v>
      </c>
      <c r="J183" s="586">
        <v>60.2</v>
      </c>
      <c r="K183" s="433">
        <f t="shared" si="10"/>
        <v>60.2</v>
      </c>
      <c r="L183" s="433">
        <f t="shared" si="11"/>
        <v>0</v>
      </c>
      <c r="M183" s="433">
        <f t="shared" si="12"/>
        <v>0</v>
      </c>
      <c r="N183" s="672"/>
      <c r="O183" s="729">
        <f>IF(N183="",0,N183*K183/'9b-Vloeronderhoud'!$F$4)</f>
        <v>0</v>
      </c>
      <c r="P183" s="672"/>
      <c r="Q183" s="729" t="e">
        <f>IF(O183="",0,P183*L183/'9b-Vloeronderhoud'!$F$6)</f>
        <v>#DIV/0!</v>
      </c>
      <c r="R183" s="449">
        <v>1</v>
      </c>
      <c r="S183" s="688" t="s">
        <v>179</v>
      </c>
      <c r="T183" s="161">
        <f t="shared" si="13"/>
        <v>0</v>
      </c>
      <c r="U183" s="162">
        <f>IF(S183="nio",0,IF(S183&gt;0,VLOOKUP(G183,'3-Productie normen'!A:K,VLOOKUP(S183,'3-Productie normen'!L:N,3,FALSE),FALSE)))</f>
        <v>0</v>
      </c>
      <c r="V183" s="162">
        <f>VLOOKUP(G183,'3-Productie normen'!A:K,10,FALSE)</f>
        <v>16013.110036668773</v>
      </c>
      <c r="W183" s="163">
        <f>VLOOKUP(G183,'3-Productie normen'!A:K,11,FALSE)</f>
        <v>0</v>
      </c>
      <c r="X183" s="163"/>
      <c r="Z183" s="129">
        <f t="shared" si="14"/>
        <v>0</v>
      </c>
    </row>
    <row r="184" spans="1:26" ht="14.1" customHeight="1">
      <c r="A184" s="144">
        <v>190</v>
      </c>
      <c r="B184" s="485" t="s">
        <v>240</v>
      </c>
      <c r="C184" s="490" t="s">
        <v>632</v>
      </c>
      <c r="D184" s="304" t="s">
        <v>98</v>
      </c>
      <c r="E184" s="702" t="s">
        <v>306</v>
      </c>
      <c r="F184" s="160" t="s">
        <v>470</v>
      </c>
      <c r="G184" s="460" t="s">
        <v>221</v>
      </c>
      <c r="H184" s="303" t="s">
        <v>332</v>
      </c>
      <c r="I184" s="582" t="str">
        <f>VLOOKUP(H184,'9a-Typen vloeren'!$A$10:$B$40,2,FALSE)</f>
        <v>Sproei/extraheren</v>
      </c>
      <c r="J184" s="586">
        <v>28.9</v>
      </c>
      <c r="K184" s="433">
        <f t="shared" si="10"/>
        <v>0</v>
      </c>
      <c r="L184" s="433">
        <f t="shared" si="11"/>
        <v>0</v>
      </c>
      <c r="M184" s="433">
        <f t="shared" si="12"/>
        <v>28.9</v>
      </c>
      <c r="N184" s="672"/>
      <c r="O184" s="729">
        <f>IF(N184="",0,N184*K184/'9b-Vloeronderhoud'!$F$4)</f>
        <v>0</v>
      </c>
      <c r="P184" s="672"/>
      <c r="Q184" s="729" t="e">
        <f>IF(O184="",0,P184*L184/'9b-Vloeronderhoud'!$F$6)</f>
        <v>#DIV/0!</v>
      </c>
      <c r="R184" s="449">
        <v>1</v>
      </c>
      <c r="S184" s="672">
        <v>80</v>
      </c>
      <c r="T184" s="161" t="e">
        <f t="shared" si="13"/>
        <v>#DIV/0!</v>
      </c>
      <c r="U184" s="162">
        <f>IF(S184="nio",0,IF(S184&gt;0,VLOOKUP(G184,'3-Productie normen'!A:K,VLOOKUP(S184,'3-Productie normen'!L:N,3,FALSE),FALSE)))</f>
        <v>0</v>
      </c>
      <c r="V184" s="162">
        <f>VLOOKUP(G184,'3-Productie normen'!A:K,10,FALSE)</f>
        <v>16013.110036668773</v>
      </c>
      <c r="W184" s="163">
        <f>VLOOKUP(G184,'3-Productie normen'!A:K,11,FALSE)</f>
        <v>0</v>
      </c>
      <c r="X184" s="163"/>
      <c r="Z184" s="129">
        <f t="shared" si="14"/>
        <v>2312</v>
      </c>
    </row>
    <row r="185" spans="1:26" ht="14.1" customHeight="1">
      <c r="A185" s="144">
        <v>191</v>
      </c>
      <c r="B185" s="485" t="s">
        <v>240</v>
      </c>
      <c r="C185" s="490" t="s">
        <v>632</v>
      </c>
      <c r="D185" s="304" t="s">
        <v>98</v>
      </c>
      <c r="E185" s="702" t="s">
        <v>305</v>
      </c>
      <c r="F185" s="160" t="s">
        <v>635</v>
      </c>
      <c r="G185" s="546" t="s">
        <v>189</v>
      </c>
      <c r="H185" s="303" t="s">
        <v>332</v>
      </c>
      <c r="I185" s="582" t="str">
        <f>VLOOKUP(H185,'9a-Typen vloeren'!$A$10:$B$40,2,FALSE)</f>
        <v>Sproei/extraheren</v>
      </c>
      <c r="J185" s="586">
        <v>11.4</v>
      </c>
      <c r="K185" s="433">
        <f t="shared" si="10"/>
        <v>0</v>
      </c>
      <c r="L185" s="433">
        <f t="shared" si="11"/>
        <v>0</v>
      </c>
      <c r="M185" s="433">
        <f t="shared" si="12"/>
        <v>11.4</v>
      </c>
      <c r="N185" s="672"/>
      <c r="O185" s="729">
        <f>IF(N185="",0,N185*K185/'9b-Vloeronderhoud'!$F$4)</f>
        <v>0</v>
      </c>
      <c r="P185" s="672"/>
      <c r="Q185" s="729" t="e">
        <f>IF(O185="",0,P185*L185/'9b-Vloeronderhoud'!$F$6)</f>
        <v>#DIV/0!</v>
      </c>
      <c r="R185" s="449">
        <v>1</v>
      </c>
      <c r="S185" s="672">
        <v>40</v>
      </c>
      <c r="T185" s="161" t="e">
        <f t="shared" si="13"/>
        <v>#DIV/0!</v>
      </c>
      <c r="U185" s="162">
        <f>IF(S185="nio",0,IF(S185&gt;0,VLOOKUP(G185,'3-Productie normen'!A:K,VLOOKUP(S185,'3-Productie normen'!L:N,3,FALSE),FALSE)))</f>
        <v>0</v>
      </c>
      <c r="V185" s="162">
        <f>VLOOKUP(G185,'3-Productie normen'!A:K,10,FALSE)</f>
        <v>1494.1700078582762</v>
      </c>
      <c r="W185" s="163">
        <f>VLOOKUP(G185,'3-Productie normen'!A:K,11,FALSE)</f>
        <v>0</v>
      </c>
      <c r="X185" s="163"/>
      <c r="Z185" s="129">
        <f t="shared" si="14"/>
        <v>456</v>
      </c>
    </row>
    <row r="186" spans="1:26" ht="14.1" customHeight="1">
      <c r="A186" s="144">
        <v>192</v>
      </c>
      <c r="B186" s="485" t="s">
        <v>240</v>
      </c>
      <c r="C186" s="490" t="s">
        <v>632</v>
      </c>
      <c r="D186" s="304" t="s">
        <v>98</v>
      </c>
      <c r="E186" s="702" t="s">
        <v>303</v>
      </c>
      <c r="F186" s="160" t="s">
        <v>382</v>
      </c>
      <c r="G186" s="460" t="s">
        <v>881</v>
      </c>
      <c r="H186" s="524" t="s">
        <v>100</v>
      </c>
      <c r="I186" s="582" t="str">
        <f>VLOOKUP(H186,'9a-Typen vloeren'!$A$10:$B$40,2,FALSE)</f>
        <v>Sprayen/ conserveren</v>
      </c>
      <c r="J186" s="586">
        <v>15.7</v>
      </c>
      <c r="K186" s="433">
        <f t="shared" si="10"/>
        <v>0</v>
      </c>
      <c r="L186" s="433">
        <f t="shared" si="11"/>
        <v>0</v>
      </c>
      <c r="M186" s="433">
        <f t="shared" si="12"/>
        <v>0</v>
      </c>
      <c r="N186" s="672"/>
      <c r="O186" s="729">
        <f>IF(N186="",0,N186*K186/'9b-Vloeronderhoud'!$F$4)</f>
        <v>0</v>
      </c>
      <c r="P186" s="672"/>
      <c r="Q186" s="729" t="e">
        <f>IF(O186="",0,P186*L186/'9b-Vloeronderhoud'!$F$6)</f>
        <v>#DIV/0!</v>
      </c>
      <c r="R186" s="449">
        <v>1</v>
      </c>
      <c r="S186" s="672" t="s">
        <v>179</v>
      </c>
      <c r="T186" s="161">
        <f t="shared" si="13"/>
        <v>0</v>
      </c>
      <c r="U186" s="162">
        <f>IF(S186="nio",0,IF(S186&gt;0,VLOOKUP(G186,'3-Productie normen'!A:K,VLOOKUP(S186,'3-Productie normen'!L:N,3,FALSE),FALSE)))</f>
        <v>0</v>
      </c>
      <c r="V186" s="162">
        <f>VLOOKUP(G186,'3-Productie normen'!A:K,10,FALSE)</f>
        <v>5262.809993648526</v>
      </c>
      <c r="W186" s="163">
        <f>VLOOKUP(G186,'3-Productie normen'!A:K,11,FALSE)</f>
        <v>0</v>
      </c>
      <c r="X186" s="163"/>
      <c r="Z186" s="129">
        <f t="shared" si="14"/>
        <v>0</v>
      </c>
    </row>
    <row r="187" spans="1:26" ht="14.1" customHeight="1">
      <c r="A187" s="144">
        <v>193</v>
      </c>
      <c r="B187" s="485" t="s">
        <v>240</v>
      </c>
      <c r="C187" s="490" t="s">
        <v>632</v>
      </c>
      <c r="D187" s="304" t="s">
        <v>98</v>
      </c>
      <c r="E187" s="702" t="s">
        <v>301</v>
      </c>
      <c r="F187" s="160" t="s">
        <v>283</v>
      </c>
      <c r="G187" s="460" t="s">
        <v>286</v>
      </c>
      <c r="H187" s="524" t="s">
        <v>100</v>
      </c>
      <c r="I187" s="582" t="str">
        <f>VLOOKUP(H187,'9a-Typen vloeren'!$A$10:$B$40,2,FALSE)</f>
        <v>Sprayen/ conserveren</v>
      </c>
      <c r="J187" s="586">
        <v>32.5</v>
      </c>
      <c r="K187" s="433">
        <f t="shared" si="10"/>
        <v>32.5</v>
      </c>
      <c r="L187" s="433">
        <f t="shared" si="11"/>
        <v>0</v>
      </c>
      <c r="M187" s="433">
        <f t="shared" si="12"/>
        <v>0</v>
      </c>
      <c r="N187" s="672">
        <v>2</v>
      </c>
      <c r="O187" s="729" t="e">
        <f>IF(N187="",0,N187*K187/'9b-Vloeronderhoud'!$F$4)</f>
        <v>#DIV/0!</v>
      </c>
      <c r="P187" s="672"/>
      <c r="Q187" s="729" t="e">
        <f>IF(O187="",0,P187*L187/'9b-Vloeronderhoud'!$F$6)</f>
        <v>#DIV/0!</v>
      </c>
      <c r="R187" s="449">
        <v>1</v>
      </c>
      <c r="S187" s="672">
        <v>120</v>
      </c>
      <c r="T187" s="161" t="e">
        <f t="shared" si="13"/>
        <v>#DIV/0!</v>
      </c>
      <c r="U187" s="162">
        <f>IF(S187="nio",0,IF(S187&gt;0,VLOOKUP(G187,'3-Productie normen'!A:K,VLOOKUP(S187,'3-Productie normen'!L:N,3,FALSE),FALSE)))</f>
        <v>0</v>
      </c>
      <c r="V187" s="162">
        <f>VLOOKUP(G187,'3-Productie normen'!A:K,10,FALSE)</f>
        <v>6152.9500017547598</v>
      </c>
      <c r="W187" s="163">
        <f>VLOOKUP(G187,'3-Productie normen'!A:K,11,FALSE)</f>
        <v>0</v>
      </c>
      <c r="X187" s="163"/>
      <c r="Z187" s="129">
        <f t="shared" si="14"/>
        <v>3900</v>
      </c>
    </row>
    <row r="188" spans="1:26" ht="14.1" customHeight="1">
      <c r="A188" s="144">
        <v>194</v>
      </c>
      <c r="B188" s="485" t="s">
        <v>240</v>
      </c>
      <c r="C188" s="490" t="s">
        <v>632</v>
      </c>
      <c r="D188" s="304" t="s">
        <v>98</v>
      </c>
      <c r="E188" s="702" t="s">
        <v>298</v>
      </c>
      <c r="F188" s="160" t="s">
        <v>470</v>
      </c>
      <c r="G188" s="460" t="s">
        <v>221</v>
      </c>
      <c r="H188" s="303" t="s">
        <v>332</v>
      </c>
      <c r="I188" s="582" t="str">
        <f>VLOOKUP(H188,'9a-Typen vloeren'!$A$10:$B$40,2,FALSE)</f>
        <v>Sproei/extraheren</v>
      </c>
      <c r="J188" s="586">
        <v>63.9</v>
      </c>
      <c r="K188" s="433">
        <f t="shared" si="10"/>
        <v>0</v>
      </c>
      <c r="L188" s="433">
        <f t="shared" si="11"/>
        <v>0</v>
      </c>
      <c r="M188" s="433">
        <f t="shared" si="12"/>
        <v>63.9</v>
      </c>
      <c r="N188" s="672"/>
      <c r="O188" s="729">
        <f>IF(N188="",0,N188*K188/'9b-Vloeronderhoud'!$F$4)</f>
        <v>0</v>
      </c>
      <c r="P188" s="672"/>
      <c r="Q188" s="729" t="e">
        <f>IF(O188="",0,P188*L188/'9b-Vloeronderhoud'!$F$6)</f>
        <v>#DIV/0!</v>
      </c>
      <c r="R188" s="449">
        <v>1</v>
      </c>
      <c r="S188" s="672">
        <v>80</v>
      </c>
      <c r="T188" s="161" t="e">
        <f t="shared" si="13"/>
        <v>#DIV/0!</v>
      </c>
      <c r="U188" s="162">
        <f>IF(S188="nio",0,IF(S188&gt;0,VLOOKUP(G188,'3-Productie normen'!A:K,VLOOKUP(S188,'3-Productie normen'!L:N,3,FALSE),FALSE)))</f>
        <v>0</v>
      </c>
      <c r="V188" s="162">
        <f>VLOOKUP(G188,'3-Productie normen'!A:K,10,FALSE)</f>
        <v>16013.110036668773</v>
      </c>
      <c r="W188" s="163">
        <f>VLOOKUP(G188,'3-Productie normen'!A:K,11,FALSE)</f>
        <v>0</v>
      </c>
      <c r="X188" s="163"/>
      <c r="Z188" s="129">
        <f t="shared" si="14"/>
        <v>5112</v>
      </c>
    </row>
    <row r="189" spans="1:26" ht="14.1" customHeight="1">
      <c r="A189" s="144">
        <v>195</v>
      </c>
      <c r="B189" s="485" t="s">
        <v>240</v>
      </c>
      <c r="C189" s="490" t="s">
        <v>632</v>
      </c>
      <c r="D189" s="304" t="s">
        <v>98</v>
      </c>
      <c r="E189" s="702" t="s">
        <v>298</v>
      </c>
      <c r="F189" s="160" t="s">
        <v>470</v>
      </c>
      <c r="G189" s="460" t="s">
        <v>221</v>
      </c>
      <c r="H189" s="516" t="s">
        <v>100</v>
      </c>
      <c r="I189" s="582" t="str">
        <f>VLOOKUP(H189,'9a-Typen vloeren'!$A$10:$B$40,2,FALSE)</f>
        <v>Sprayen/ conserveren</v>
      </c>
      <c r="J189" s="587">
        <v>9.4</v>
      </c>
      <c r="K189" s="433">
        <f t="shared" si="10"/>
        <v>9.4</v>
      </c>
      <c r="L189" s="433">
        <f t="shared" si="11"/>
        <v>0</v>
      </c>
      <c r="M189" s="433">
        <f t="shared" si="12"/>
        <v>0</v>
      </c>
      <c r="N189" s="672"/>
      <c r="O189" s="729">
        <f>IF(N189="",0,N189*K189/'9b-Vloeronderhoud'!$F$4)</f>
        <v>0</v>
      </c>
      <c r="P189" s="672"/>
      <c r="Q189" s="729" t="e">
        <f>IF(O189="",0,P189*L189/'9b-Vloeronderhoud'!$F$6)</f>
        <v>#DIV/0!</v>
      </c>
      <c r="R189" s="449">
        <v>1</v>
      </c>
      <c r="S189" s="672">
        <v>80</v>
      </c>
      <c r="T189" s="161" t="e">
        <f t="shared" si="13"/>
        <v>#DIV/0!</v>
      </c>
      <c r="U189" s="162">
        <f>IF(S189="nio",0,IF(S189&gt;0,VLOOKUP(G189,'3-Productie normen'!A:K,VLOOKUP(S189,'3-Productie normen'!L:N,3,FALSE),FALSE)))</f>
        <v>0</v>
      </c>
      <c r="V189" s="162">
        <f>VLOOKUP(G189,'3-Productie normen'!A:K,10,FALSE)</f>
        <v>16013.110036668773</v>
      </c>
      <c r="W189" s="163">
        <f>VLOOKUP(G189,'3-Productie normen'!A:K,11,FALSE)</f>
        <v>0</v>
      </c>
      <c r="X189" s="163"/>
      <c r="Z189" s="129">
        <f t="shared" si="14"/>
        <v>752</v>
      </c>
    </row>
    <row r="190" spans="1:26" ht="14.1" customHeight="1">
      <c r="A190" s="144">
        <v>196</v>
      </c>
      <c r="B190" s="485" t="s">
        <v>240</v>
      </c>
      <c r="C190" s="490" t="s">
        <v>632</v>
      </c>
      <c r="D190" s="304" t="s">
        <v>98</v>
      </c>
      <c r="E190" s="702" t="s">
        <v>296</v>
      </c>
      <c r="F190" s="160" t="s">
        <v>267</v>
      </c>
      <c r="G190" s="122" t="s">
        <v>18</v>
      </c>
      <c r="H190" s="524" t="s">
        <v>966</v>
      </c>
      <c r="I190" s="582" t="str">
        <f>VLOOKUP(H190,'9a-Typen vloeren'!$A$10:$B$40,2,FALSE)</f>
        <v>zie kwaliteitsontwerp</v>
      </c>
      <c r="J190" s="587">
        <v>8.4</v>
      </c>
      <c r="K190" s="433">
        <f t="shared" si="10"/>
        <v>0</v>
      </c>
      <c r="L190" s="433">
        <f t="shared" si="11"/>
        <v>0</v>
      </c>
      <c r="M190" s="433">
        <f t="shared" si="12"/>
        <v>0</v>
      </c>
      <c r="N190" s="672"/>
      <c r="O190" s="729">
        <f>IF(N190="",0,N190*K190/'9b-Vloeronderhoud'!$F$4)</f>
        <v>0</v>
      </c>
      <c r="P190" s="672"/>
      <c r="Q190" s="729" t="e">
        <f>IF(O190="",0,P190*L190/'9b-Vloeronderhoud'!$F$6)</f>
        <v>#DIV/0!</v>
      </c>
      <c r="R190" s="449">
        <v>1</v>
      </c>
      <c r="S190" s="672">
        <v>190</v>
      </c>
      <c r="T190" s="161" t="e">
        <f t="shared" si="13"/>
        <v>#DIV/0!</v>
      </c>
      <c r="U190" s="162">
        <f>IF(S190="nio",0,IF(S190&gt;0,VLOOKUP(G190,'3-Productie normen'!A:K,VLOOKUP(S190,'3-Productie normen'!L:N,3,FALSE),FALSE)))</f>
        <v>0</v>
      </c>
      <c r="V190" s="162">
        <f>VLOOKUP(G190,'3-Productie normen'!A:K,10,FALSE)</f>
        <v>1859.5880019121171</v>
      </c>
      <c r="W190" s="163">
        <f>VLOOKUP(G190,'3-Productie normen'!A:K,11,FALSE)</f>
        <v>0</v>
      </c>
      <c r="X190" s="163"/>
      <c r="Z190" s="129">
        <f t="shared" si="14"/>
        <v>1596</v>
      </c>
    </row>
    <row r="191" spans="1:26" ht="14.1" customHeight="1">
      <c r="A191" s="144">
        <v>197</v>
      </c>
      <c r="B191" s="485" t="s">
        <v>240</v>
      </c>
      <c r="C191" s="490" t="s">
        <v>632</v>
      </c>
      <c r="D191" s="304" t="s">
        <v>98</v>
      </c>
      <c r="E191" s="694" t="s">
        <v>295</v>
      </c>
      <c r="F191" s="160" t="s">
        <v>489</v>
      </c>
      <c r="G191" s="122" t="s">
        <v>99</v>
      </c>
      <c r="H191" s="516" t="s">
        <v>802</v>
      </c>
      <c r="I191" s="582" t="str">
        <f>VLOOKUP(H191,'9a-Typen vloeren'!$A$10:$B$40,2,FALSE)</f>
        <v>n.v.t.</v>
      </c>
      <c r="J191" s="433">
        <v>8.1999999999999993</v>
      </c>
      <c r="K191" s="433">
        <f t="shared" si="10"/>
        <v>0</v>
      </c>
      <c r="L191" s="433">
        <f t="shared" si="11"/>
        <v>0</v>
      </c>
      <c r="M191" s="433">
        <f t="shared" si="12"/>
        <v>0</v>
      </c>
      <c r="N191" s="672"/>
      <c r="O191" s="729">
        <f>IF(N191="",0,N191*K191/'9b-Vloeronderhoud'!$F$4)</f>
        <v>0</v>
      </c>
      <c r="P191" s="672"/>
      <c r="Q191" s="729" t="e">
        <f>IF(O191="",0,P191*L191/'9b-Vloeronderhoud'!$F$6)</f>
        <v>#DIV/0!</v>
      </c>
      <c r="R191" s="449">
        <v>1</v>
      </c>
      <c r="S191" s="672">
        <v>190</v>
      </c>
      <c r="T191" s="161" t="e">
        <f t="shared" si="13"/>
        <v>#DIV/0!</v>
      </c>
      <c r="U191" s="162">
        <f>IF(S191="nio",0,IF(S191&gt;0,VLOOKUP(G191,'3-Productie normen'!A:K,VLOOKUP(S191,'3-Productie normen'!L:N,3,FALSE),FALSE)))</f>
        <v>0</v>
      </c>
      <c r="V191" s="162">
        <f>VLOOKUP(G191,'3-Productie normen'!A:K,10,FALSE)</f>
        <v>726.97999910354622</v>
      </c>
      <c r="W191" s="163">
        <f>VLOOKUP(G191,'3-Productie normen'!A:K,11,FALSE)</f>
        <v>0</v>
      </c>
      <c r="X191" s="163"/>
      <c r="Z191" s="129">
        <f t="shared" si="14"/>
        <v>1557.9999999999998</v>
      </c>
    </row>
    <row r="192" spans="1:26" ht="14.1" customHeight="1">
      <c r="A192" s="144">
        <v>198</v>
      </c>
      <c r="B192" s="485" t="s">
        <v>240</v>
      </c>
      <c r="C192" s="490" t="s">
        <v>632</v>
      </c>
      <c r="D192" s="304" t="s">
        <v>98</v>
      </c>
      <c r="E192" s="694" t="s">
        <v>294</v>
      </c>
      <c r="F192" s="160" t="s">
        <v>634</v>
      </c>
      <c r="G192" s="122" t="s">
        <v>287</v>
      </c>
      <c r="H192" s="516" t="s">
        <v>100</v>
      </c>
      <c r="I192" s="582" t="str">
        <f>VLOOKUP(H192,'9a-Typen vloeren'!$A$10:$B$40,2,FALSE)</f>
        <v>Sprayen/ conserveren</v>
      </c>
      <c r="J192" s="433">
        <v>31.4</v>
      </c>
      <c r="K192" s="433">
        <f t="shared" si="10"/>
        <v>31.4</v>
      </c>
      <c r="L192" s="433">
        <f t="shared" si="11"/>
        <v>0</v>
      </c>
      <c r="M192" s="433">
        <f t="shared" si="12"/>
        <v>0</v>
      </c>
      <c r="N192" s="672">
        <v>2</v>
      </c>
      <c r="O192" s="729" t="e">
        <f>IF(N192="",0,N192*K192/'9b-Vloeronderhoud'!$F$4)</f>
        <v>#DIV/0!</v>
      </c>
      <c r="P192" s="672"/>
      <c r="Q192" s="729" t="e">
        <f>IF(O192="",0,P192*L192/'9b-Vloeronderhoud'!$F$6)</f>
        <v>#DIV/0!</v>
      </c>
      <c r="R192" s="449">
        <v>1</v>
      </c>
      <c r="S192" s="672">
        <v>80</v>
      </c>
      <c r="T192" s="161" t="e">
        <f t="shared" si="13"/>
        <v>#DIV/0!</v>
      </c>
      <c r="U192" s="162">
        <f>IF(S192="nio",0,IF(S192&gt;0,VLOOKUP(G192,'3-Productie normen'!A:K,VLOOKUP(S192,'3-Productie normen'!L:N,3,FALSE),FALSE)))</f>
        <v>0</v>
      </c>
      <c r="V192" s="162">
        <f>VLOOKUP(G192,'3-Productie normen'!A:K,10,FALSE)</f>
        <v>519.460002565384</v>
      </c>
      <c r="W192" s="163">
        <f>VLOOKUP(G192,'3-Productie normen'!A:K,11,FALSE)</f>
        <v>0</v>
      </c>
      <c r="X192" s="163"/>
      <c r="Z192" s="129">
        <f t="shared" si="14"/>
        <v>2512</v>
      </c>
    </row>
    <row r="193" spans="1:30" ht="14.1" customHeight="1">
      <c r="A193" s="144">
        <v>199</v>
      </c>
      <c r="B193" s="485" t="s">
        <v>240</v>
      </c>
      <c r="C193" s="490" t="s">
        <v>632</v>
      </c>
      <c r="D193" s="304">
        <v>1</v>
      </c>
      <c r="E193" s="694" t="s">
        <v>351</v>
      </c>
      <c r="F193" s="160" t="s">
        <v>636</v>
      </c>
      <c r="G193" s="122" t="s">
        <v>190</v>
      </c>
      <c r="H193" s="516" t="s">
        <v>100</v>
      </c>
      <c r="I193" s="582" t="str">
        <f>VLOOKUP(H193,'9a-Typen vloeren'!$A$10:$B$40,2,FALSE)</f>
        <v>Sprayen/ conserveren</v>
      </c>
      <c r="J193" s="433">
        <v>25</v>
      </c>
      <c r="K193" s="433">
        <f t="shared" si="10"/>
        <v>25</v>
      </c>
      <c r="L193" s="433">
        <f t="shared" si="11"/>
        <v>0</v>
      </c>
      <c r="M193" s="433">
        <f t="shared" si="12"/>
        <v>0</v>
      </c>
      <c r="N193" s="672">
        <v>2</v>
      </c>
      <c r="O193" s="729" t="e">
        <f>IF(N193="",0,N193*K193/'9b-Vloeronderhoud'!$F$4)</f>
        <v>#DIV/0!</v>
      </c>
      <c r="P193" s="672"/>
      <c r="Q193" s="729" t="e">
        <f>IF(O193="",0,P193*L193/'9b-Vloeronderhoud'!$F$6)</f>
        <v>#DIV/0!</v>
      </c>
      <c r="R193" s="449">
        <v>1</v>
      </c>
      <c r="S193" s="672">
        <v>40</v>
      </c>
      <c r="T193" s="161" t="e">
        <f t="shared" si="13"/>
        <v>#DIV/0!</v>
      </c>
      <c r="U193" s="162">
        <f>IF(S193="nio",0,IF(S193&gt;0,VLOOKUP(G193,'3-Productie normen'!A:K,VLOOKUP(S193,'3-Productie normen'!L:N,3,FALSE),FALSE)))</f>
        <v>0</v>
      </c>
      <c r="V193" s="162">
        <f>VLOOKUP(G193,'3-Productie normen'!A:K,10,FALSE)</f>
        <v>281.65000052452086</v>
      </c>
      <c r="W193" s="163">
        <f>VLOOKUP(G193,'3-Productie normen'!A:K,11,FALSE)</f>
        <v>0</v>
      </c>
      <c r="X193" s="163"/>
      <c r="Z193" s="129">
        <f t="shared" si="14"/>
        <v>1000</v>
      </c>
    </row>
    <row r="194" spans="1:30" ht="14.1" customHeight="1">
      <c r="A194" s="144">
        <v>200</v>
      </c>
      <c r="B194" s="485" t="s">
        <v>240</v>
      </c>
      <c r="C194" s="490" t="s">
        <v>632</v>
      </c>
      <c r="D194" s="304">
        <v>1</v>
      </c>
      <c r="E194" s="694" t="s">
        <v>352</v>
      </c>
      <c r="F194" s="303" t="s">
        <v>627</v>
      </c>
      <c r="G194" s="460" t="s">
        <v>191</v>
      </c>
      <c r="H194" s="516" t="s">
        <v>100</v>
      </c>
      <c r="I194" s="582" t="str">
        <f>VLOOKUP(H194,'9a-Typen vloeren'!$A$10:$B$40,2,FALSE)</f>
        <v>Sprayen/ conserveren</v>
      </c>
      <c r="J194" s="433">
        <v>6.7</v>
      </c>
      <c r="K194" s="433">
        <f t="shared" si="10"/>
        <v>6.7</v>
      </c>
      <c r="L194" s="433">
        <f t="shared" si="11"/>
        <v>0</v>
      </c>
      <c r="M194" s="433">
        <f t="shared" si="12"/>
        <v>0</v>
      </c>
      <c r="N194" s="672"/>
      <c r="O194" s="729">
        <f>IF(N194="",0,N194*K194/'9b-Vloeronderhoud'!$F$4)</f>
        <v>0</v>
      </c>
      <c r="P194" s="672"/>
      <c r="Q194" s="729" t="e">
        <f>IF(O194="",0,P194*L194/'9b-Vloeronderhoud'!$F$6)</f>
        <v>#DIV/0!</v>
      </c>
      <c r="R194" s="449">
        <v>1</v>
      </c>
      <c r="S194" s="672">
        <v>40</v>
      </c>
      <c r="T194" s="161" t="e">
        <f t="shared" si="13"/>
        <v>#DIV/0!</v>
      </c>
      <c r="U194" s="162">
        <f>IF(S194="nio",0,IF(S194&gt;0,VLOOKUP(G194,'3-Productie normen'!A:K,VLOOKUP(S194,'3-Productie normen'!L:N,3,FALSE),FALSE)))</f>
        <v>0</v>
      </c>
      <c r="V194" s="162">
        <f>VLOOKUP(G194,'3-Productie normen'!A:K,10,FALSE)</f>
        <v>314.55999933242794</v>
      </c>
      <c r="W194" s="163">
        <f>VLOOKUP(G194,'3-Productie normen'!A:K,11,FALSE)</f>
        <v>0</v>
      </c>
      <c r="X194" s="163"/>
      <c r="Z194" s="129">
        <f t="shared" si="14"/>
        <v>268</v>
      </c>
    </row>
    <row r="195" spans="1:30" ht="14.1" customHeight="1">
      <c r="A195" s="144">
        <v>201</v>
      </c>
      <c r="B195" s="485" t="s">
        <v>240</v>
      </c>
      <c r="C195" s="490" t="s">
        <v>632</v>
      </c>
      <c r="D195" s="304">
        <v>1</v>
      </c>
      <c r="E195" s="694" t="s">
        <v>354</v>
      </c>
      <c r="F195" s="538" t="s">
        <v>452</v>
      </c>
      <c r="G195" s="303" t="s">
        <v>18</v>
      </c>
      <c r="H195" s="524" t="s">
        <v>966</v>
      </c>
      <c r="I195" s="582" t="str">
        <f>VLOOKUP(H195,'9a-Typen vloeren'!$A$10:$B$40,2,FALSE)</f>
        <v>zie kwaliteitsontwerp</v>
      </c>
      <c r="J195" s="433">
        <v>8.8000000000000007</v>
      </c>
      <c r="K195" s="433">
        <f t="shared" si="10"/>
        <v>0</v>
      </c>
      <c r="L195" s="433">
        <f t="shared" si="11"/>
        <v>0</v>
      </c>
      <c r="M195" s="433">
        <f t="shared" si="12"/>
        <v>0</v>
      </c>
      <c r="N195" s="672"/>
      <c r="O195" s="729">
        <f>IF(N195="",0,N195*K195/'9b-Vloeronderhoud'!$F$4)</f>
        <v>0</v>
      </c>
      <c r="P195" s="672"/>
      <c r="Q195" s="729" t="e">
        <f>IF(O195="",0,P195*L195/'9b-Vloeronderhoud'!$F$6)</f>
        <v>#DIV/0!</v>
      </c>
      <c r="R195" s="449">
        <v>1</v>
      </c>
      <c r="S195" s="672">
        <v>190</v>
      </c>
      <c r="T195" s="161" t="e">
        <f t="shared" si="13"/>
        <v>#DIV/0!</v>
      </c>
      <c r="U195" s="162">
        <f>IF(S195="nio",0,IF(S195&gt;0,VLOOKUP(G195,'3-Productie normen'!A:K,VLOOKUP(S195,'3-Productie normen'!L:N,3,FALSE),FALSE)))</f>
        <v>0</v>
      </c>
      <c r="V195" s="162">
        <f>VLOOKUP(G195,'3-Productie normen'!A:K,10,FALSE)</f>
        <v>1859.5880019121171</v>
      </c>
      <c r="W195" s="163">
        <f>VLOOKUP(G195,'3-Productie normen'!A:K,11,FALSE)</f>
        <v>0</v>
      </c>
      <c r="X195" s="163"/>
      <c r="Z195" s="129">
        <f t="shared" si="14"/>
        <v>1672.0000000000002</v>
      </c>
    </row>
    <row r="196" spans="1:30" ht="14.1" customHeight="1">
      <c r="A196" s="144">
        <v>202</v>
      </c>
      <c r="B196" s="485" t="s">
        <v>240</v>
      </c>
      <c r="C196" s="490" t="s">
        <v>632</v>
      </c>
      <c r="D196" s="304">
        <v>1</v>
      </c>
      <c r="E196" s="694" t="s">
        <v>355</v>
      </c>
      <c r="F196" s="303" t="s">
        <v>404</v>
      </c>
      <c r="G196" s="546" t="s">
        <v>286</v>
      </c>
      <c r="H196" s="522" t="s">
        <v>100</v>
      </c>
      <c r="I196" s="582" t="str">
        <f>VLOOKUP(H196,'9a-Typen vloeren'!$A$10:$B$40,2,FALSE)</f>
        <v>Sprayen/ conserveren</v>
      </c>
      <c r="J196" s="433">
        <v>5.4</v>
      </c>
      <c r="K196" s="433">
        <f t="shared" si="10"/>
        <v>5.4</v>
      </c>
      <c r="L196" s="433">
        <f t="shared" si="11"/>
        <v>0</v>
      </c>
      <c r="M196" s="433">
        <f t="shared" si="12"/>
        <v>0</v>
      </c>
      <c r="N196" s="672">
        <v>2</v>
      </c>
      <c r="O196" s="729" t="e">
        <f>IF(N196="",0,N196*K196/'9b-Vloeronderhoud'!$F$4)</f>
        <v>#DIV/0!</v>
      </c>
      <c r="P196" s="672"/>
      <c r="Q196" s="729" t="e">
        <f>IF(O196="",0,P196*L196/'9b-Vloeronderhoud'!$F$6)</f>
        <v>#DIV/0!</v>
      </c>
      <c r="R196" s="449">
        <v>1</v>
      </c>
      <c r="S196" s="672">
        <v>120</v>
      </c>
      <c r="T196" s="161" t="e">
        <f t="shared" si="13"/>
        <v>#DIV/0!</v>
      </c>
      <c r="U196" s="162">
        <f>IF(S196="nio",0,IF(S196&gt;0,VLOOKUP(G196,'3-Productie normen'!A:K,VLOOKUP(S196,'3-Productie normen'!L:N,3,FALSE),FALSE)))</f>
        <v>0</v>
      </c>
      <c r="V196" s="162">
        <f>VLOOKUP(G196,'3-Productie normen'!A:K,10,FALSE)</f>
        <v>6152.9500017547598</v>
      </c>
      <c r="W196" s="163">
        <f>VLOOKUP(G196,'3-Productie normen'!A:K,11,FALSE)</f>
        <v>0</v>
      </c>
      <c r="X196" s="163"/>
      <c r="Z196" s="129">
        <f t="shared" si="14"/>
        <v>648</v>
      </c>
    </row>
    <row r="197" spans="1:30" ht="14.1" customHeight="1">
      <c r="A197" s="144">
        <v>203</v>
      </c>
      <c r="B197" s="485" t="s">
        <v>240</v>
      </c>
      <c r="C197" s="490" t="s">
        <v>632</v>
      </c>
      <c r="D197" s="304">
        <v>1</v>
      </c>
      <c r="E197" s="700" t="s">
        <v>507</v>
      </c>
      <c r="F197" s="541" t="s">
        <v>350</v>
      </c>
      <c r="G197" s="303" t="s">
        <v>299</v>
      </c>
      <c r="H197" s="303" t="s">
        <v>332</v>
      </c>
      <c r="I197" s="582" t="str">
        <f>VLOOKUP(H197,'9a-Typen vloeren'!$A$10:$B$40,2,FALSE)</f>
        <v>Sproei/extraheren</v>
      </c>
      <c r="J197" s="433">
        <v>30.3</v>
      </c>
      <c r="K197" s="433">
        <f t="shared" ref="K197:K260" si="15">IF(G197="niet in onderhoud",0,IF(I197="sprayen/ conserveren",J197,0))</f>
        <v>0</v>
      </c>
      <c r="L197" s="433">
        <f t="shared" ref="L197:L260" si="16">IF(G197="niet in onderhoud",0,IF(I197="schrobben",J197,0))</f>
        <v>0</v>
      </c>
      <c r="M197" s="433">
        <f t="shared" ref="M197:M260" si="17">IF(G197="niet in onderhoud",0,IF(I197="Sproei/extraheren",J197,0))</f>
        <v>30.3</v>
      </c>
      <c r="N197" s="672"/>
      <c r="O197" s="729">
        <f>IF(N197="",0,N197*K197/'9b-Vloeronderhoud'!$F$4)</f>
        <v>0</v>
      </c>
      <c r="P197" s="672"/>
      <c r="Q197" s="729" t="e">
        <f>IF(O197="",0,P197*L197/'9b-Vloeronderhoud'!$F$6)</f>
        <v>#DIV/0!</v>
      </c>
      <c r="R197" s="449">
        <v>1</v>
      </c>
      <c r="S197" s="672">
        <v>40</v>
      </c>
      <c r="T197" s="161" t="e">
        <f t="shared" si="13"/>
        <v>#DIV/0!</v>
      </c>
      <c r="U197" s="162">
        <f>IF(S197="nio",0,IF(S197&gt;0,VLOOKUP(G197,'3-Productie normen'!A:K,VLOOKUP(S197,'3-Productie normen'!L:N,3,FALSE),FALSE)))</f>
        <v>0</v>
      </c>
      <c r="V197" s="162">
        <f>VLOOKUP(G197,'3-Productie normen'!A:K,10,FALSE)</f>
        <v>1107.9100014114381</v>
      </c>
      <c r="W197" s="163">
        <f>VLOOKUP(G197,'3-Productie normen'!A:K,11,FALSE)</f>
        <v>0</v>
      </c>
      <c r="X197" s="163"/>
      <c r="Z197" s="129">
        <f t="shared" si="14"/>
        <v>1212</v>
      </c>
    </row>
    <row r="198" spans="1:30" ht="14.1" customHeight="1">
      <c r="A198" s="144">
        <v>204</v>
      </c>
      <c r="B198" s="485" t="s">
        <v>240</v>
      </c>
      <c r="C198" s="490" t="s">
        <v>632</v>
      </c>
      <c r="D198" s="304">
        <v>1</v>
      </c>
      <c r="E198" s="694" t="s">
        <v>637</v>
      </c>
      <c r="F198" s="303" t="s">
        <v>445</v>
      </c>
      <c r="G198" s="460" t="s">
        <v>189</v>
      </c>
      <c r="H198" s="303" t="s">
        <v>332</v>
      </c>
      <c r="I198" s="582" t="str">
        <f>VLOOKUP(H198,'9a-Typen vloeren'!$A$10:$B$40,2,FALSE)</f>
        <v>Sproei/extraheren</v>
      </c>
      <c r="J198" s="433">
        <v>22.1</v>
      </c>
      <c r="K198" s="433">
        <f t="shared" si="15"/>
        <v>0</v>
      </c>
      <c r="L198" s="433">
        <f t="shared" si="16"/>
        <v>0</v>
      </c>
      <c r="M198" s="433">
        <f t="shared" si="17"/>
        <v>22.1</v>
      </c>
      <c r="N198" s="672"/>
      <c r="O198" s="729">
        <f>IF(N198="",0,N198*K198/'9b-Vloeronderhoud'!$F$4)</f>
        <v>0</v>
      </c>
      <c r="P198" s="672"/>
      <c r="Q198" s="729" t="e">
        <f>IF(O198="",0,P198*L198/'9b-Vloeronderhoud'!$F$6)</f>
        <v>#DIV/0!</v>
      </c>
      <c r="R198" s="449">
        <v>1</v>
      </c>
      <c r="S198" s="672">
        <v>40</v>
      </c>
      <c r="T198" s="161" t="e">
        <f t="shared" si="13"/>
        <v>#DIV/0!</v>
      </c>
      <c r="U198" s="162">
        <f>IF(S198="nio",0,IF(S198&gt;0,VLOOKUP(G198,'3-Productie normen'!A:K,VLOOKUP(S198,'3-Productie normen'!L:N,3,FALSE),FALSE)))</f>
        <v>0</v>
      </c>
      <c r="V198" s="162">
        <f>VLOOKUP(G198,'3-Productie normen'!A:K,10,FALSE)</f>
        <v>1494.1700078582762</v>
      </c>
      <c r="W198" s="163">
        <f>VLOOKUP(G198,'3-Productie normen'!A:K,11,FALSE)</f>
        <v>0</v>
      </c>
      <c r="X198" s="163"/>
      <c r="Z198" s="129">
        <f t="shared" si="14"/>
        <v>884</v>
      </c>
    </row>
    <row r="199" spans="1:30" ht="14.1" customHeight="1">
      <c r="A199" s="144">
        <v>205</v>
      </c>
      <c r="B199" s="485" t="s">
        <v>240</v>
      </c>
      <c r="C199" s="490" t="s">
        <v>632</v>
      </c>
      <c r="D199" s="304">
        <v>1</v>
      </c>
      <c r="E199" s="694" t="s">
        <v>638</v>
      </c>
      <c r="F199" s="303" t="s">
        <v>582</v>
      </c>
      <c r="G199" s="122" t="s">
        <v>189</v>
      </c>
      <c r="H199" s="303" t="s">
        <v>332</v>
      </c>
      <c r="I199" s="582" t="str">
        <f>VLOOKUP(H199,'9a-Typen vloeren'!$A$10:$B$40,2,FALSE)</f>
        <v>Sproei/extraheren</v>
      </c>
      <c r="J199" s="433">
        <v>11.3</v>
      </c>
      <c r="K199" s="433">
        <f t="shared" si="15"/>
        <v>0</v>
      </c>
      <c r="L199" s="433">
        <f t="shared" si="16"/>
        <v>0</v>
      </c>
      <c r="M199" s="433">
        <f t="shared" si="17"/>
        <v>11.3</v>
      </c>
      <c r="N199" s="672"/>
      <c r="O199" s="729">
        <f>IF(N199="",0,N199*K199/'9b-Vloeronderhoud'!$F$4)</f>
        <v>0</v>
      </c>
      <c r="P199" s="672"/>
      <c r="Q199" s="729" t="e">
        <f>IF(O199="",0,P199*L199/'9b-Vloeronderhoud'!$F$6)</f>
        <v>#DIV/0!</v>
      </c>
      <c r="R199" s="449">
        <v>1</v>
      </c>
      <c r="S199" s="672">
        <v>40</v>
      </c>
      <c r="T199" s="161" t="e">
        <f t="shared" si="13"/>
        <v>#DIV/0!</v>
      </c>
      <c r="U199" s="162">
        <f>IF(S199="nio",0,IF(S199&gt;0,VLOOKUP(G199,'3-Productie normen'!A:K,VLOOKUP(S199,'3-Productie normen'!L:N,3,FALSE),FALSE)))</f>
        <v>0</v>
      </c>
      <c r="V199" s="162">
        <f>VLOOKUP(G199,'3-Productie normen'!A:K,10,FALSE)</f>
        <v>1494.1700078582762</v>
      </c>
      <c r="W199" s="163">
        <f>VLOOKUP(G199,'3-Productie normen'!A:K,11,FALSE)</f>
        <v>0</v>
      </c>
      <c r="X199" s="163"/>
      <c r="Z199" s="129">
        <f t="shared" si="14"/>
        <v>452</v>
      </c>
    </row>
    <row r="200" spans="1:30" ht="14.1" customHeight="1">
      <c r="A200" s="144">
        <v>206</v>
      </c>
      <c r="B200" s="485" t="s">
        <v>240</v>
      </c>
      <c r="C200" s="490" t="s">
        <v>632</v>
      </c>
      <c r="D200" s="304">
        <v>1</v>
      </c>
      <c r="E200" s="694" t="s">
        <v>356</v>
      </c>
      <c r="F200" s="303" t="s">
        <v>404</v>
      </c>
      <c r="G200" s="122" t="s">
        <v>286</v>
      </c>
      <c r="H200" s="516" t="s">
        <v>100</v>
      </c>
      <c r="I200" s="582" t="str">
        <f>VLOOKUP(H200,'9a-Typen vloeren'!$A$10:$B$40,2,FALSE)</f>
        <v>Sprayen/ conserveren</v>
      </c>
      <c r="J200" s="433">
        <v>32.299999999999997</v>
      </c>
      <c r="K200" s="433">
        <f t="shared" si="15"/>
        <v>32.299999999999997</v>
      </c>
      <c r="L200" s="433">
        <f t="shared" si="16"/>
        <v>0</v>
      </c>
      <c r="M200" s="433">
        <f t="shared" si="17"/>
        <v>0</v>
      </c>
      <c r="N200" s="672">
        <v>2</v>
      </c>
      <c r="O200" s="729" t="e">
        <f>IF(N200="",0,N200*K200/'9b-Vloeronderhoud'!$F$4)</f>
        <v>#DIV/0!</v>
      </c>
      <c r="P200" s="672"/>
      <c r="Q200" s="729" t="e">
        <f>IF(O200="",0,P200*L200/'9b-Vloeronderhoud'!$F$6)</f>
        <v>#DIV/0!</v>
      </c>
      <c r="R200" s="449">
        <v>1</v>
      </c>
      <c r="S200" s="672">
        <v>120</v>
      </c>
      <c r="T200" s="161" t="e">
        <f t="shared" si="13"/>
        <v>#DIV/0!</v>
      </c>
      <c r="U200" s="162">
        <f>IF(S200="nio",0,IF(S200&gt;0,VLOOKUP(G200,'3-Productie normen'!A:K,VLOOKUP(S200,'3-Productie normen'!L:N,3,FALSE),FALSE)))</f>
        <v>0</v>
      </c>
      <c r="V200" s="162">
        <f>VLOOKUP(G200,'3-Productie normen'!A:K,10,FALSE)</f>
        <v>6152.9500017547598</v>
      </c>
      <c r="W200" s="163">
        <f>VLOOKUP(G200,'3-Productie normen'!A:K,11,FALSE)</f>
        <v>0</v>
      </c>
      <c r="X200" s="163"/>
      <c r="Z200" s="129">
        <f t="shared" si="14"/>
        <v>3875.9999999999995</v>
      </c>
    </row>
    <row r="201" spans="1:30" ht="14.1" customHeight="1">
      <c r="A201" s="144">
        <v>207</v>
      </c>
      <c r="B201" s="485" t="s">
        <v>240</v>
      </c>
      <c r="C201" s="490" t="s">
        <v>632</v>
      </c>
      <c r="D201" s="304">
        <v>1</v>
      </c>
      <c r="E201" s="694" t="s">
        <v>358</v>
      </c>
      <c r="F201" s="303" t="s">
        <v>470</v>
      </c>
      <c r="G201" s="460" t="s">
        <v>221</v>
      </c>
      <c r="H201" s="516" t="s">
        <v>100</v>
      </c>
      <c r="I201" s="582" t="str">
        <f>VLOOKUP(H201,'9a-Typen vloeren'!$A$10:$B$40,2,FALSE)</f>
        <v>Sprayen/ conserveren</v>
      </c>
      <c r="J201" s="433">
        <v>57.9</v>
      </c>
      <c r="K201" s="433">
        <f t="shared" si="15"/>
        <v>57.9</v>
      </c>
      <c r="L201" s="433">
        <f t="shared" si="16"/>
        <v>0</v>
      </c>
      <c r="M201" s="433">
        <f t="shared" si="17"/>
        <v>0</v>
      </c>
      <c r="N201" s="672"/>
      <c r="O201" s="729">
        <f>IF(N201="",0,N201*K201/'9b-Vloeronderhoud'!$F$4)</f>
        <v>0</v>
      </c>
      <c r="P201" s="672"/>
      <c r="Q201" s="729" t="e">
        <f>IF(O201="",0,P201*L201/'9b-Vloeronderhoud'!$F$6)</f>
        <v>#DIV/0!</v>
      </c>
      <c r="R201" s="449">
        <v>1</v>
      </c>
      <c r="S201" s="688" t="s">
        <v>179</v>
      </c>
      <c r="T201" s="161">
        <f t="shared" si="13"/>
        <v>0</v>
      </c>
      <c r="U201" s="162">
        <f>IF(S201="nio",0,IF(S201&gt;0,VLOOKUP(G201,'3-Productie normen'!A:K,VLOOKUP(S201,'3-Productie normen'!L:N,3,FALSE),FALSE)))</f>
        <v>0</v>
      </c>
      <c r="V201" s="162">
        <f>VLOOKUP(G201,'3-Productie normen'!A:K,10,FALSE)</f>
        <v>16013.110036668773</v>
      </c>
      <c r="W201" s="163">
        <f>VLOOKUP(G201,'3-Productie normen'!A:K,11,FALSE)</f>
        <v>0</v>
      </c>
      <c r="X201" s="163"/>
      <c r="Z201" s="129">
        <f t="shared" si="14"/>
        <v>0</v>
      </c>
    </row>
    <row r="202" spans="1:30" ht="14.1" customHeight="1">
      <c r="A202" s="144">
        <v>208</v>
      </c>
      <c r="B202" s="485" t="s">
        <v>240</v>
      </c>
      <c r="C202" s="490" t="s">
        <v>632</v>
      </c>
      <c r="D202" s="304">
        <v>1</v>
      </c>
      <c r="E202" s="694" t="s">
        <v>359</v>
      </c>
      <c r="F202" s="303" t="s">
        <v>470</v>
      </c>
      <c r="G202" s="460" t="s">
        <v>221</v>
      </c>
      <c r="H202" s="516" t="s">
        <v>100</v>
      </c>
      <c r="I202" s="582" t="str">
        <f>VLOOKUP(H202,'9a-Typen vloeren'!$A$10:$B$40,2,FALSE)</f>
        <v>Sprayen/ conserveren</v>
      </c>
      <c r="J202" s="433">
        <v>57.9</v>
      </c>
      <c r="K202" s="433">
        <f t="shared" si="15"/>
        <v>57.9</v>
      </c>
      <c r="L202" s="433">
        <f t="shared" si="16"/>
        <v>0</v>
      </c>
      <c r="M202" s="433">
        <f t="shared" si="17"/>
        <v>0</v>
      </c>
      <c r="N202" s="672"/>
      <c r="O202" s="729">
        <f>IF(N202="",0,N202*K202/'9b-Vloeronderhoud'!$F$4)</f>
        <v>0</v>
      </c>
      <c r="P202" s="672"/>
      <c r="Q202" s="729" t="e">
        <f>IF(O202="",0,P202*L202/'9b-Vloeronderhoud'!$F$6)</f>
        <v>#DIV/0!</v>
      </c>
      <c r="R202" s="449">
        <v>1</v>
      </c>
      <c r="S202" s="688" t="s">
        <v>179</v>
      </c>
      <c r="T202" s="161">
        <f t="shared" ref="T202:T265" si="18">IF(S202="nio",0,IF(S202&gt;0,S202*J202/U202,0))*R202</f>
        <v>0</v>
      </c>
      <c r="U202" s="162">
        <f>IF(S202="nio",0,IF(S202&gt;0,VLOOKUP(G202,'3-Productie normen'!A:K,VLOOKUP(S202,'3-Productie normen'!L:N,3,FALSE),FALSE)))</f>
        <v>0</v>
      </c>
      <c r="V202" s="162">
        <f>VLOOKUP(G202,'3-Productie normen'!A:K,10,FALSE)</f>
        <v>16013.110036668773</v>
      </c>
      <c r="W202" s="163">
        <f>VLOOKUP(G202,'3-Productie normen'!A:K,11,FALSE)</f>
        <v>0</v>
      </c>
      <c r="X202" s="163"/>
      <c r="Z202" s="129">
        <f t="shared" ref="Z202:Z265" si="19">SUM(S202:S202)*J202</f>
        <v>0</v>
      </c>
    </row>
    <row r="203" spans="1:30" ht="14.1" customHeight="1">
      <c r="A203" s="144">
        <v>209</v>
      </c>
      <c r="B203" s="485" t="s">
        <v>240</v>
      </c>
      <c r="C203" s="490" t="s">
        <v>632</v>
      </c>
      <c r="D203" s="304">
        <v>1</v>
      </c>
      <c r="E203" s="694" t="s">
        <v>361</v>
      </c>
      <c r="F203" s="303" t="s">
        <v>470</v>
      </c>
      <c r="G203" s="303" t="s">
        <v>221</v>
      </c>
      <c r="H203" s="516" t="s">
        <v>100</v>
      </c>
      <c r="I203" s="582" t="str">
        <f>VLOOKUP(H203,'9a-Typen vloeren'!$A$10:$B$40,2,FALSE)</f>
        <v>Sprayen/ conserveren</v>
      </c>
      <c r="J203" s="433">
        <v>56.4</v>
      </c>
      <c r="K203" s="433">
        <f t="shared" si="15"/>
        <v>56.4</v>
      </c>
      <c r="L203" s="433">
        <f t="shared" si="16"/>
        <v>0</v>
      </c>
      <c r="M203" s="433">
        <f t="shared" si="17"/>
        <v>0</v>
      </c>
      <c r="N203" s="672"/>
      <c r="O203" s="729">
        <f>IF(N203="",0,N203*K203/'9b-Vloeronderhoud'!$F$4)</f>
        <v>0</v>
      </c>
      <c r="P203" s="672"/>
      <c r="Q203" s="729" t="e">
        <f>IF(O203="",0,P203*L203/'9b-Vloeronderhoud'!$F$6)</f>
        <v>#DIV/0!</v>
      </c>
      <c r="R203" s="449">
        <v>1</v>
      </c>
      <c r="S203" s="688" t="s">
        <v>179</v>
      </c>
      <c r="T203" s="161">
        <f t="shared" si="18"/>
        <v>0</v>
      </c>
      <c r="U203" s="162">
        <f>IF(S203="nio",0,IF(S203&gt;0,VLOOKUP(G203,'3-Productie normen'!A:K,VLOOKUP(S203,'3-Productie normen'!L:N,3,FALSE),FALSE)))</f>
        <v>0</v>
      </c>
      <c r="V203" s="162">
        <f>VLOOKUP(G203,'3-Productie normen'!A:K,10,FALSE)</f>
        <v>16013.110036668773</v>
      </c>
      <c r="W203" s="163">
        <f>VLOOKUP(G203,'3-Productie normen'!A:K,11,FALSE)</f>
        <v>0</v>
      </c>
      <c r="X203" s="163"/>
      <c r="Z203" s="129">
        <f t="shared" si="19"/>
        <v>0</v>
      </c>
    </row>
    <row r="204" spans="1:30" ht="14.1" customHeight="1">
      <c r="A204" s="144">
        <v>210</v>
      </c>
      <c r="B204" s="485" t="s">
        <v>240</v>
      </c>
      <c r="C204" s="490" t="s">
        <v>632</v>
      </c>
      <c r="D204" s="304">
        <v>1</v>
      </c>
      <c r="E204" s="694" t="s">
        <v>363</v>
      </c>
      <c r="F204" s="303" t="s">
        <v>470</v>
      </c>
      <c r="G204" s="303" t="s">
        <v>221</v>
      </c>
      <c r="H204" s="516" t="s">
        <v>100</v>
      </c>
      <c r="I204" s="582" t="str">
        <f>VLOOKUP(H204,'9a-Typen vloeren'!$A$10:$B$40,2,FALSE)</f>
        <v>Sprayen/ conserveren</v>
      </c>
      <c r="J204" s="433">
        <v>56.4</v>
      </c>
      <c r="K204" s="433">
        <f t="shared" si="15"/>
        <v>56.4</v>
      </c>
      <c r="L204" s="433">
        <f t="shared" si="16"/>
        <v>0</v>
      </c>
      <c r="M204" s="433">
        <f t="shared" si="17"/>
        <v>0</v>
      </c>
      <c r="N204" s="672"/>
      <c r="O204" s="729">
        <f>IF(N204="",0,N204*K204/'9b-Vloeronderhoud'!$F$4)</f>
        <v>0</v>
      </c>
      <c r="P204" s="672"/>
      <c r="Q204" s="729" t="e">
        <f>IF(O204="",0,P204*L204/'9b-Vloeronderhoud'!$F$6)</f>
        <v>#DIV/0!</v>
      </c>
      <c r="R204" s="449">
        <v>1</v>
      </c>
      <c r="S204" s="672">
        <v>80</v>
      </c>
      <c r="T204" s="161" t="e">
        <f t="shared" si="18"/>
        <v>#DIV/0!</v>
      </c>
      <c r="U204" s="162">
        <f>IF(S204="nio",0,IF(S204&gt;0,VLOOKUP(G204,'3-Productie normen'!A:K,VLOOKUP(S204,'3-Productie normen'!L:N,3,FALSE),FALSE)))</f>
        <v>0</v>
      </c>
      <c r="V204" s="162">
        <f>VLOOKUP(G204,'3-Productie normen'!A:K,10,FALSE)</f>
        <v>16013.110036668773</v>
      </c>
      <c r="W204" s="163">
        <f>VLOOKUP(G204,'3-Productie normen'!A:K,11,FALSE)</f>
        <v>0</v>
      </c>
      <c r="X204" s="163"/>
      <c r="Z204" s="129">
        <f t="shared" si="19"/>
        <v>4512</v>
      </c>
    </row>
    <row r="205" spans="1:30" ht="14.1" customHeight="1">
      <c r="A205" s="144">
        <v>211</v>
      </c>
      <c r="B205" s="485" t="s">
        <v>240</v>
      </c>
      <c r="C205" s="490" t="s">
        <v>632</v>
      </c>
      <c r="D205" s="304">
        <v>1</v>
      </c>
      <c r="E205" s="694" t="s">
        <v>364</v>
      </c>
      <c r="F205" s="303" t="s">
        <v>639</v>
      </c>
      <c r="G205" s="122" t="s">
        <v>286</v>
      </c>
      <c r="H205" s="516" t="s">
        <v>100</v>
      </c>
      <c r="I205" s="582" t="str">
        <f>VLOOKUP(H205,'9a-Typen vloeren'!$A$10:$B$40,2,FALSE)</f>
        <v>Sprayen/ conserveren</v>
      </c>
      <c r="J205" s="433">
        <v>22.8</v>
      </c>
      <c r="K205" s="433">
        <f t="shared" si="15"/>
        <v>22.8</v>
      </c>
      <c r="L205" s="433">
        <f t="shared" si="16"/>
        <v>0</v>
      </c>
      <c r="M205" s="433">
        <f t="shared" si="17"/>
        <v>0</v>
      </c>
      <c r="N205" s="672">
        <v>2</v>
      </c>
      <c r="O205" s="729" t="e">
        <f>IF(N205="",0,N205*K205/'9b-Vloeronderhoud'!$F$4)</f>
        <v>#DIV/0!</v>
      </c>
      <c r="P205" s="672"/>
      <c r="Q205" s="729" t="e">
        <f>IF(O205="",0,P205*L205/'9b-Vloeronderhoud'!$F$6)</f>
        <v>#DIV/0!</v>
      </c>
      <c r="R205" s="449">
        <v>1</v>
      </c>
      <c r="S205" s="672">
        <v>120</v>
      </c>
      <c r="T205" s="161" t="e">
        <f t="shared" si="18"/>
        <v>#DIV/0!</v>
      </c>
      <c r="U205" s="162">
        <f>IF(S205="nio",0,IF(S205&gt;0,VLOOKUP(G205,'3-Productie normen'!A:K,VLOOKUP(S205,'3-Productie normen'!L:N,3,FALSE),FALSE)))</f>
        <v>0</v>
      </c>
      <c r="V205" s="162">
        <f>VLOOKUP(G205,'3-Productie normen'!A:K,10,FALSE)</f>
        <v>6152.9500017547598</v>
      </c>
      <c r="W205" s="163">
        <f>VLOOKUP(G205,'3-Productie normen'!A:K,11,FALSE)</f>
        <v>0</v>
      </c>
      <c r="X205" s="163"/>
      <c r="Z205" s="129">
        <f t="shared" si="19"/>
        <v>2736</v>
      </c>
    </row>
    <row r="206" spans="1:30" ht="14.1" customHeight="1">
      <c r="A206" s="144">
        <v>212</v>
      </c>
      <c r="B206" s="485" t="s">
        <v>240</v>
      </c>
      <c r="C206" s="490" t="s">
        <v>632</v>
      </c>
      <c r="D206" s="304">
        <v>1</v>
      </c>
      <c r="E206" s="694" t="s">
        <v>366</v>
      </c>
      <c r="F206" s="303" t="s">
        <v>382</v>
      </c>
      <c r="G206" s="460" t="s">
        <v>881</v>
      </c>
      <c r="H206" s="303" t="s">
        <v>100</v>
      </c>
      <c r="I206" s="582" t="str">
        <f>VLOOKUP(H206,'9a-Typen vloeren'!$A$10:$B$40,2,FALSE)</f>
        <v>Sprayen/ conserveren</v>
      </c>
      <c r="J206" s="433">
        <v>8.8000000000000007</v>
      </c>
      <c r="K206" s="433">
        <f t="shared" si="15"/>
        <v>0</v>
      </c>
      <c r="L206" s="433">
        <f t="shared" si="16"/>
        <v>0</v>
      </c>
      <c r="M206" s="433">
        <f t="shared" si="17"/>
        <v>0</v>
      </c>
      <c r="N206" s="672"/>
      <c r="O206" s="729">
        <f>IF(N206="",0,N206*K206/'9b-Vloeronderhoud'!$F$4)</f>
        <v>0</v>
      </c>
      <c r="P206" s="672"/>
      <c r="Q206" s="729" t="e">
        <f>IF(O206="",0,P206*L206/'9b-Vloeronderhoud'!$F$6)</f>
        <v>#DIV/0!</v>
      </c>
      <c r="R206" s="449">
        <v>1</v>
      </c>
      <c r="S206" s="672" t="s">
        <v>179</v>
      </c>
      <c r="T206" s="161">
        <f t="shared" si="18"/>
        <v>0</v>
      </c>
      <c r="U206" s="162">
        <f>IF(S206="nio",0,IF(S206&gt;0,VLOOKUP(G206,'3-Productie normen'!A:K,VLOOKUP(S206,'3-Productie normen'!L:N,3,FALSE),FALSE)))</f>
        <v>0</v>
      </c>
      <c r="V206" s="162">
        <f>VLOOKUP(G206,'3-Productie normen'!A:K,10,FALSE)</f>
        <v>5262.809993648526</v>
      </c>
      <c r="W206" s="163">
        <f>VLOOKUP(G206,'3-Productie normen'!A:K,11,FALSE)</f>
        <v>0</v>
      </c>
      <c r="X206" s="163"/>
      <c r="Z206" s="129">
        <f t="shared" si="19"/>
        <v>0</v>
      </c>
    </row>
    <row r="207" spans="1:30" s="47" customFormat="1" ht="14.1" customHeight="1">
      <c r="A207" s="144">
        <v>213</v>
      </c>
      <c r="B207" s="485" t="s">
        <v>240</v>
      </c>
      <c r="C207" s="490" t="s">
        <v>632</v>
      </c>
      <c r="D207" s="304">
        <v>1</v>
      </c>
      <c r="E207" s="694" t="s">
        <v>367</v>
      </c>
      <c r="F207" s="303" t="s">
        <v>267</v>
      </c>
      <c r="G207" s="122" t="s">
        <v>18</v>
      </c>
      <c r="H207" s="524" t="s">
        <v>966</v>
      </c>
      <c r="I207" s="582" t="str">
        <f>VLOOKUP(H207,'9a-Typen vloeren'!$A$10:$B$40,2,FALSE)</f>
        <v>zie kwaliteitsontwerp</v>
      </c>
      <c r="J207" s="433">
        <v>6.5</v>
      </c>
      <c r="K207" s="433">
        <f t="shared" si="15"/>
        <v>0</v>
      </c>
      <c r="L207" s="433">
        <f t="shared" si="16"/>
        <v>0</v>
      </c>
      <c r="M207" s="433">
        <f t="shared" si="17"/>
        <v>0</v>
      </c>
      <c r="N207" s="672"/>
      <c r="O207" s="729">
        <f>IF(N207="",0,N207*K207/'9b-Vloeronderhoud'!$F$4)</f>
        <v>0</v>
      </c>
      <c r="P207" s="672"/>
      <c r="Q207" s="729" t="e">
        <f>IF(O207="",0,P207*L207/'9b-Vloeronderhoud'!$F$6)</f>
        <v>#DIV/0!</v>
      </c>
      <c r="R207" s="449">
        <v>1</v>
      </c>
      <c r="S207" s="672">
        <v>190</v>
      </c>
      <c r="T207" s="161" t="e">
        <f t="shared" si="18"/>
        <v>#DIV/0!</v>
      </c>
      <c r="U207" s="162">
        <f>IF(S207="nio",0,IF(S207&gt;0,VLOOKUP(G207,'3-Productie normen'!A:K,VLOOKUP(S207,'3-Productie normen'!L:N,3,FALSE),FALSE)))</f>
        <v>0</v>
      </c>
      <c r="V207" s="162">
        <f>VLOOKUP(G207,'3-Productie normen'!A:K,10,FALSE)</f>
        <v>1859.5880019121171</v>
      </c>
      <c r="W207" s="163">
        <f>VLOOKUP(G207,'3-Productie normen'!A:K,11,FALSE)</f>
        <v>0</v>
      </c>
      <c r="X207" s="163"/>
      <c r="Y207" s="4"/>
      <c r="Z207" s="129">
        <f t="shared" si="19"/>
        <v>1235</v>
      </c>
      <c r="AA207" s="4"/>
      <c r="AB207" s="4"/>
      <c r="AC207" s="4"/>
      <c r="AD207" s="4"/>
    </row>
    <row r="208" spans="1:30" ht="14.1" customHeight="1">
      <c r="A208" s="144">
        <v>214</v>
      </c>
      <c r="B208" s="485" t="s">
        <v>240</v>
      </c>
      <c r="C208" s="490" t="s">
        <v>632</v>
      </c>
      <c r="D208" s="304">
        <v>1</v>
      </c>
      <c r="E208" s="694" t="s">
        <v>640</v>
      </c>
      <c r="F208" s="303" t="s">
        <v>382</v>
      </c>
      <c r="G208" s="460" t="s">
        <v>881</v>
      </c>
      <c r="H208" s="303" t="s">
        <v>100</v>
      </c>
      <c r="I208" s="582" t="str">
        <f>VLOOKUP(H208,'9a-Typen vloeren'!$A$10:$B$40,2,FALSE)</f>
        <v>Sprayen/ conserveren</v>
      </c>
      <c r="J208" s="433">
        <v>2.1</v>
      </c>
      <c r="K208" s="433">
        <f t="shared" si="15"/>
        <v>0</v>
      </c>
      <c r="L208" s="433">
        <f t="shared" si="16"/>
        <v>0</v>
      </c>
      <c r="M208" s="433">
        <f t="shared" si="17"/>
        <v>0</v>
      </c>
      <c r="N208" s="672"/>
      <c r="O208" s="729">
        <f>IF(N208="",0,N208*K208/'9b-Vloeronderhoud'!$F$4)</f>
        <v>0</v>
      </c>
      <c r="P208" s="672"/>
      <c r="Q208" s="729" t="e">
        <f>IF(O208="",0,P208*L208/'9b-Vloeronderhoud'!$F$6)</f>
        <v>#DIV/0!</v>
      </c>
      <c r="R208" s="449">
        <v>1</v>
      </c>
      <c r="S208" s="672" t="s">
        <v>179</v>
      </c>
      <c r="T208" s="161">
        <f t="shared" si="18"/>
        <v>0</v>
      </c>
      <c r="U208" s="162">
        <f>IF(S208="nio",0,IF(S208&gt;0,VLOOKUP(G208,'3-Productie normen'!A:K,VLOOKUP(S208,'3-Productie normen'!L:N,3,FALSE),FALSE)))</f>
        <v>0</v>
      </c>
      <c r="V208" s="162">
        <f>VLOOKUP(G208,'3-Productie normen'!A:K,10,FALSE)</f>
        <v>5262.809993648526</v>
      </c>
      <c r="W208" s="163">
        <f>VLOOKUP(G208,'3-Productie normen'!A:K,11,FALSE)</f>
        <v>0</v>
      </c>
      <c r="X208" s="163"/>
      <c r="Z208" s="129">
        <f t="shared" si="19"/>
        <v>0</v>
      </c>
    </row>
    <row r="209" spans="1:26" ht="14.1" customHeight="1">
      <c r="A209" s="144">
        <v>215</v>
      </c>
      <c r="B209" s="485" t="s">
        <v>240</v>
      </c>
      <c r="C209" s="490" t="s">
        <v>632</v>
      </c>
      <c r="D209" s="304">
        <v>1</v>
      </c>
      <c r="E209" s="694" t="s">
        <v>368</v>
      </c>
      <c r="F209" s="303" t="s">
        <v>283</v>
      </c>
      <c r="G209" s="122" t="s">
        <v>286</v>
      </c>
      <c r="H209" s="303" t="s">
        <v>100</v>
      </c>
      <c r="I209" s="582" t="str">
        <f>VLOOKUP(H209,'9a-Typen vloeren'!$A$10:$B$40,2,FALSE)</f>
        <v>Sprayen/ conserveren</v>
      </c>
      <c r="J209" s="433">
        <v>32</v>
      </c>
      <c r="K209" s="433">
        <f t="shared" si="15"/>
        <v>32</v>
      </c>
      <c r="L209" s="433">
        <f t="shared" si="16"/>
        <v>0</v>
      </c>
      <c r="M209" s="433">
        <f t="shared" si="17"/>
        <v>0</v>
      </c>
      <c r="N209" s="672">
        <v>2</v>
      </c>
      <c r="O209" s="729" t="e">
        <f>IF(N209="",0,N209*K209/'9b-Vloeronderhoud'!$F$4)</f>
        <v>#DIV/0!</v>
      </c>
      <c r="P209" s="672"/>
      <c r="Q209" s="729" t="e">
        <f>IF(O209="",0,P209*L209/'9b-Vloeronderhoud'!$F$6)</f>
        <v>#DIV/0!</v>
      </c>
      <c r="R209" s="449">
        <v>1</v>
      </c>
      <c r="S209" s="672">
        <v>120</v>
      </c>
      <c r="T209" s="161" t="e">
        <f t="shared" si="18"/>
        <v>#DIV/0!</v>
      </c>
      <c r="U209" s="162">
        <f>IF(S209="nio",0,IF(S209&gt;0,VLOOKUP(G209,'3-Productie normen'!A:K,VLOOKUP(S209,'3-Productie normen'!L:N,3,FALSE),FALSE)))</f>
        <v>0</v>
      </c>
      <c r="V209" s="162">
        <f>VLOOKUP(G209,'3-Productie normen'!A:K,10,FALSE)</f>
        <v>6152.9500017547598</v>
      </c>
      <c r="W209" s="163">
        <f>VLOOKUP(G209,'3-Productie normen'!A:K,11,FALSE)</f>
        <v>0</v>
      </c>
      <c r="X209" s="163"/>
      <c r="Z209" s="129">
        <f t="shared" si="19"/>
        <v>3840</v>
      </c>
    </row>
    <row r="210" spans="1:26" ht="14.1" customHeight="1">
      <c r="A210" s="144">
        <v>216</v>
      </c>
      <c r="B210" s="485" t="s">
        <v>240</v>
      </c>
      <c r="C210" s="490" t="s">
        <v>632</v>
      </c>
      <c r="D210" s="304">
        <v>1</v>
      </c>
      <c r="E210" s="694" t="s">
        <v>369</v>
      </c>
      <c r="F210" s="303" t="s">
        <v>221</v>
      </c>
      <c r="G210" s="122" t="s">
        <v>221</v>
      </c>
      <c r="H210" s="303" t="s">
        <v>100</v>
      </c>
      <c r="I210" s="582" t="str">
        <f>VLOOKUP(H210,'9a-Typen vloeren'!$A$10:$B$40,2,FALSE)</f>
        <v>Sprayen/ conserveren</v>
      </c>
      <c r="J210" s="433">
        <v>56.6</v>
      </c>
      <c r="K210" s="433">
        <f t="shared" si="15"/>
        <v>56.6</v>
      </c>
      <c r="L210" s="433">
        <f t="shared" si="16"/>
        <v>0</v>
      </c>
      <c r="M210" s="433">
        <f t="shared" si="17"/>
        <v>0</v>
      </c>
      <c r="N210" s="672"/>
      <c r="O210" s="729">
        <f>IF(N210="",0,N210*K210/'9b-Vloeronderhoud'!$F$4)</f>
        <v>0</v>
      </c>
      <c r="P210" s="672"/>
      <c r="Q210" s="729" t="e">
        <f>IF(O210="",0,P210*L210/'9b-Vloeronderhoud'!$F$6)</f>
        <v>#DIV/0!</v>
      </c>
      <c r="R210" s="449">
        <v>1</v>
      </c>
      <c r="S210" s="672">
        <v>80</v>
      </c>
      <c r="T210" s="161" t="e">
        <f t="shared" si="18"/>
        <v>#DIV/0!</v>
      </c>
      <c r="U210" s="162">
        <f>IF(S210="nio",0,IF(S210&gt;0,VLOOKUP(G210,'3-Productie normen'!A:K,VLOOKUP(S210,'3-Productie normen'!L:N,3,FALSE),FALSE)))</f>
        <v>0</v>
      </c>
      <c r="V210" s="162">
        <f>VLOOKUP(G210,'3-Productie normen'!A:K,10,FALSE)</f>
        <v>16013.110036668773</v>
      </c>
      <c r="W210" s="163">
        <f>VLOOKUP(G210,'3-Productie normen'!A:K,11,FALSE)</f>
        <v>0</v>
      </c>
      <c r="X210" s="163"/>
      <c r="Z210" s="129">
        <f t="shared" si="19"/>
        <v>4528</v>
      </c>
    </row>
    <row r="211" spans="1:26" ht="14.1" customHeight="1">
      <c r="A211" s="144">
        <v>217</v>
      </c>
      <c r="B211" s="485" t="s">
        <v>240</v>
      </c>
      <c r="C211" s="490" t="s">
        <v>632</v>
      </c>
      <c r="D211" s="304">
        <v>1</v>
      </c>
      <c r="E211" s="694" t="s">
        <v>370</v>
      </c>
      <c r="F211" s="303" t="s">
        <v>221</v>
      </c>
      <c r="G211" s="303" t="s">
        <v>221</v>
      </c>
      <c r="H211" s="303" t="s">
        <v>100</v>
      </c>
      <c r="I211" s="582" t="str">
        <f>VLOOKUP(H211,'9a-Typen vloeren'!$A$10:$B$40,2,FALSE)</f>
        <v>Sprayen/ conserveren</v>
      </c>
      <c r="J211" s="433">
        <v>52.6</v>
      </c>
      <c r="K211" s="433">
        <f t="shared" si="15"/>
        <v>52.6</v>
      </c>
      <c r="L211" s="433">
        <f t="shared" si="16"/>
        <v>0</v>
      </c>
      <c r="M211" s="433">
        <f t="shared" si="17"/>
        <v>0</v>
      </c>
      <c r="N211" s="672"/>
      <c r="O211" s="729">
        <f>IF(N211="",0,N211*K211/'9b-Vloeronderhoud'!$F$4)</f>
        <v>0</v>
      </c>
      <c r="P211" s="672"/>
      <c r="Q211" s="729" t="e">
        <f>IF(O211="",0,P211*L211/'9b-Vloeronderhoud'!$F$6)</f>
        <v>#DIV/0!</v>
      </c>
      <c r="R211" s="449">
        <v>1</v>
      </c>
      <c r="S211" s="672">
        <v>80</v>
      </c>
      <c r="T211" s="161" t="e">
        <f t="shared" si="18"/>
        <v>#DIV/0!</v>
      </c>
      <c r="U211" s="162">
        <f>IF(S211="nio",0,IF(S211&gt;0,VLOOKUP(G211,'3-Productie normen'!A:K,VLOOKUP(S211,'3-Productie normen'!L:N,3,FALSE),FALSE)))</f>
        <v>0</v>
      </c>
      <c r="V211" s="162">
        <f>VLOOKUP(G211,'3-Productie normen'!A:K,10,FALSE)</f>
        <v>16013.110036668773</v>
      </c>
      <c r="W211" s="163">
        <f>VLOOKUP(G211,'3-Productie normen'!A:K,11,FALSE)</f>
        <v>0</v>
      </c>
      <c r="X211" s="163"/>
      <c r="Z211" s="129">
        <f t="shared" si="19"/>
        <v>4208</v>
      </c>
    </row>
    <row r="212" spans="1:26" ht="14.1" customHeight="1">
      <c r="A212" s="144">
        <v>218</v>
      </c>
      <c r="B212" s="485" t="s">
        <v>240</v>
      </c>
      <c r="C212" s="490" t="s">
        <v>632</v>
      </c>
      <c r="D212" s="304">
        <v>1</v>
      </c>
      <c r="E212" s="694" t="s">
        <v>371</v>
      </c>
      <c r="F212" s="303" t="s">
        <v>641</v>
      </c>
      <c r="G212" s="460" t="s">
        <v>286</v>
      </c>
      <c r="H212" s="303" t="s">
        <v>100</v>
      </c>
      <c r="I212" s="582" t="str">
        <f>VLOOKUP(H212,'9a-Typen vloeren'!$A$10:$B$40,2,FALSE)</f>
        <v>Sprayen/ conserveren</v>
      </c>
      <c r="J212" s="433">
        <v>22.8</v>
      </c>
      <c r="K212" s="433">
        <f t="shared" si="15"/>
        <v>22.8</v>
      </c>
      <c r="L212" s="433">
        <f t="shared" si="16"/>
        <v>0</v>
      </c>
      <c r="M212" s="433">
        <f t="shared" si="17"/>
        <v>0</v>
      </c>
      <c r="N212" s="672">
        <v>2</v>
      </c>
      <c r="O212" s="729" t="e">
        <f>IF(N212="",0,N212*K212/'9b-Vloeronderhoud'!$F$4)</f>
        <v>#DIV/0!</v>
      </c>
      <c r="P212" s="672"/>
      <c r="Q212" s="729" t="e">
        <f>IF(O212="",0,P212*L212/'9b-Vloeronderhoud'!$F$6)</f>
        <v>#DIV/0!</v>
      </c>
      <c r="R212" s="449">
        <v>1</v>
      </c>
      <c r="S212" s="672">
        <v>120</v>
      </c>
      <c r="T212" s="161" t="e">
        <f t="shared" si="18"/>
        <v>#DIV/0!</v>
      </c>
      <c r="U212" s="162">
        <f>IF(S212="nio",0,IF(S212&gt;0,VLOOKUP(G212,'3-Productie normen'!A:K,VLOOKUP(S212,'3-Productie normen'!L:N,3,FALSE),FALSE)))</f>
        <v>0</v>
      </c>
      <c r="V212" s="162">
        <f>VLOOKUP(G212,'3-Productie normen'!A:K,10,FALSE)</f>
        <v>6152.9500017547598</v>
      </c>
      <c r="W212" s="163">
        <f>VLOOKUP(G212,'3-Productie normen'!A:K,11,FALSE)</f>
        <v>0</v>
      </c>
      <c r="X212" s="163"/>
      <c r="Z212" s="129">
        <f t="shared" si="19"/>
        <v>2736</v>
      </c>
    </row>
    <row r="213" spans="1:26" ht="14.1" customHeight="1">
      <c r="A213" s="144">
        <v>219</v>
      </c>
      <c r="B213" s="485" t="s">
        <v>240</v>
      </c>
      <c r="C213" s="490" t="s">
        <v>632</v>
      </c>
      <c r="D213" s="304">
        <v>1</v>
      </c>
      <c r="E213" s="694" t="s">
        <v>372</v>
      </c>
      <c r="F213" s="303" t="s">
        <v>452</v>
      </c>
      <c r="G213" s="460" t="s">
        <v>18</v>
      </c>
      <c r="H213" s="524" t="s">
        <v>966</v>
      </c>
      <c r="I213" s="582" t="str">
        <f>VLOOKUP(H213,'9a-Typen vloeren'!$A$10:$B$40,2,FALSE)</f>
        <v>zie kwaliteitsontwerp</v>
      </c>
      <c r="J213" s="433">
        <v>15</v>
      </c>
      <c r="K213" s="433">
        <f t="shared" si="15"/>
        <v>0</v>
      </c>
      <c r="L213" s="433">
        <f t="shared" si="16"/>
        <v>0</v>
      </c>
      <c r="M213" s="433">
        <f t="shared" si="17"/>
        <v>0</v>
      </c>
      <c r="N213" s="672"/>
      <c r="O213" s="729">
        <f>IF(N213="",0,N213*K213/'9b-Vloeronderhoud'!$F$4)</f>
        <v>0</v>
      </c>
      <c r="P213" s="672"/>
      <c r="Q213" s="729" t="e">
        <f>IF(O213="",0,P213*L213/'9b-Vloeronderhoud'!$F$6)</f>
        <v>#DIV/0!</v>
      </c>
      <c r="R213" s="449">
        <v>1</v>
      </c>
      <c r="S213" s="672">
        <v>190</v>
      </c>
      <c r="T213" s="161" t="e">
        <f t="shared" si="18"/>
        <v>#DIV/0!</v>
      </c>
      <c r="U213" s="162">
        <f>IF(S213="nio",0,IF(S213&gt;0,VLOOKUP(G213,'3-Productie normen'!A:K,VLOOKUP(S213,'3-Productie normen'!L:N,3,FALSE),FALSE)))</f>
        <v>0</v>
      </c>
      <c r="V213" s="162">
        <f>VLOOKUP(G213,'3-Productie normen'!A:K,10,FALSE)</f>
        <v>1859.5880019121171</v>
      </c>
      <c r="W213" s="163">
        <f>VLOOKUP(G213,'3-Productie normen'!A:K,11,FALSE)</f>
        <v>0</v>
      </c>
      <c r="X213" s="163"/>
      <c r="Z213" s="129">
        <f t="shared" si="19"/>
        <v>2850</v>
      </c>
    </row>
    <row r="214" spans="1:26" ht="14.1" customHeight="1">
      <c r="A214" s="144">
        <v>220</v>
      </c>
      <c r="B214" s="485" t="s">
        <v>240</v>
      </c>
      <c r="C214" s="490" t="s">
        <v>632</v>
      </c>
      <c r="D214" s="304">
        <v>1</v>
      </c>
      <c r="E214" s="694" t="s">
        <v>386</v>
      </c>
      <c r="F214" s="303" t="s">
        <v>382</v>
      </c>
      <c r="G214" s="460" t="s">
        <v>881</v>
      </c>
      <c r="H214" s="303" t="s">
        <v>100</v>
      </c>
      <c r="I214" s="582" t="str">
        <f>VLOOKUP(H214,'9a-Typen vloeren'!$A$10:$B$40,2,FALSE)</f>
        <v>Sprayen/ conserveren</v>
      </c>
      <c r="J214" s="433">
        <v>1.2</v>
      </c>
      <c r="K214" s="433">
        <f t="shared" si="15"/>
        <v>0</v>
      </c>
      <c r="L214" s="433">
        <f t="shared" si="16"/>
        <v>0</v>
      </c>
      <c r="M214" s="433">
        <f t="shared" si="17"/>
        <v>0</v>
      </c>
      <c r="N214" s="672"/>
      <c r="O214" s="729">
        <f>IF(N214="",0,N214*K214/'9b-Vloeronderhoud'!$F$4)</f>
        <v>0</v>
      </c>
      <c r="P214" s="672"/>
      <c r="Q214" s="729" t="e">
        <f>IF(O214="",0,P214*L214/'9b-Vloeronderhoud'!$F$6)</f>
        <v>#DIV/0!</v>
      </c>
      <c r="R214" s="449">
        <v>1</v>
      </c>
      <c r="S214" s="672" t="s">
        <v>179</v>
      </c>
      <c r="T214" s="161">
        <f t="shared" si="18"/>
        <v>0</v>
      </c>
      <c r="U214" s="162">
        <f>IF(S214="nio",0,IF(S214&gt;0,VLOOKUP(G214,'3-Productie normen'!A:K,VLOOKUP(S214,'3-Productie normen'!L:N,3,FALSE),FALSE)))</f>
        <v>0</v>
      </c>
      <c r="V214" s="162">
        <f>VLOOKUP(G214,'3-Productie normen'!A:K,10,FALSE)</f>
        <v>5262.809993648526</v>
      </c>
      <c r="W214" s="163">
        <f>VLOOKUP(G214,'3-Productie normen'!A:K,11,FALSE)</f>
        <v>0</v>
      </c>
      <c r="X214" s="163"/>
      <c r="Z214" s="129">
        <f t="shared" si="19"/>
        <v>0</v>
      </c>
    </row>
    <row r="215" spans="1:26" ht="14.1" customHeight="1">
      <c r="A215" s="144">
        <v>221</v>
      </c>
      <c r="B215" s="485" t="s">
        <v>240</v>
      </c>
      <c r="C215" s="490" t="s">
        <v>632</v>
      </c>
      <c r="D215" s="304">
        <v>1</v>
      </c>
      <c r="E215" s="694" t="s">
        <v>387</v>
      </c>
      <c r="F215" s="303" t="s">
        <v>382</v>
      </c>
      <c r="G215" s="460" t="s">
        <v>881</v>
      </c>
      <c r="H215" s="303" t="s">
        <v>100</v>
      </c>
      <c r="I215" s="582" t="str">
        <f>VLOOKUP(H215,'9a-Typen vloeren'!$A$10:$B$40,2,FALSE)</f>
        <v>Sprayen/ conserveren</v>
      </c>
      <c r="J215" s="433">
        <v>1.2</v>
      </c>
      <c r="K215" s="433">
        <f t="shared" si="15"/>
        <v>0</v>
      </c>
      <c r="L215" s="433">
        <f t="shared" si="16"/>
        <v>0</v>
      </c>
      <c r="M215" s="433">
        <f t="shared" si="17"/>
        <v>0</v>
      </c>
      <c r="N215" s="672"/>
      <c r="O215" s="729">
        <f>IF(N215="",0,N215*K215/'9b-Vloeronderhoud'!$F$4)</f>
        <v>0</v>
      </c>
      <c r="P215" s="672"/>
      <c r="Q215" s="729" t="e">
        <f>IF(O215="",0,P215*L215/'9b-Vloeronderhoud'!$F$6)</f>
        <v>#DIV/0!</v>
      </c>
      <c r="R215" s="449">
        <v>1</v>
      </c>
      <c r="S215" s="672" t="s">
        <v>179</v>
      </c>
      <c r="T215" s="161">
        <f t="shared" si="18"/>
        <v>0</v>
      </c>
      <c r="U215" s="162">
        <f>IF(S215="nio",0,IF(S215&gt;0,VLOOKUP(G215,'3-Productie normen'!A:K,VLOOKUP(S215,'3-Productie normen'!L:N,3,FALSE),FALSE)))</f>
        <v>0</v>
      </c>
      <c r="V215" s="162">
        <f>VLOOKUP(G215,'3-Productie normen'!A:K,10,FALSE)</f>
        <v>5262.809993648526</v>
      </c>
      <c r="W215" s="163">
        <f>VLOOKUP(G215,'3-Productie normen'!A:K,11,FALSE)</f>
        <v>0</v>
      </c>
      <c r="X215" s="163"/>
      <c r="Z215" s="129">
        <f t="shared" si="19"/>
        <v>0</v>
      </c>
    </row>
    <row r="216" spans="1:26" ht="14.1" customHeight="1">
      <c r="A216" s="144">
        <v>222</v>
      </c>
      <c r="B216" s="485" t="s">
        <v>240</v>
      </c>
      <c r="C216" s="490" t="s">
        <v>632</v>
      </c>
      <c r="D216" s="304">
        <v>1</v>
      </c>
      <c r="E216" s="707" t="s">
        <v>388</v>
      </c>
      <c r="F216" s="534" t="s">
        <v>221</v>
      </c>
      <c r="G216" s="122" t="s">
        <v>221</v>
      </c>
      <c r="H216" s="534" t="s">
        <v>100</v>
      </c>
      <c r="I216" s="582" t="str">
        <f>VLOOKUP(H216,'9a-Typen vloeren'!$A$10:$B$40,2,FALSE)</f>
        <v>Sprayen/ conserveren</v>
      </c>
      <c r="J216" s="588">
        <v>55.7</v>
      </c>
      <c r="K216" s="433">
        <f t="shared" si="15"/>
        <v>55.7</v>
      </c>
      <c r="L216" s="433">
        <f t="shared" si="16"/>
        <v>0</v>
      </c>
      <c r="M216" s="433">
        <f t="shared" si="17"/>
        <v>0</v>
      </c>
      <c r="N216" s="672"/>
      <c r="O216" s="729">
        <f>IF(N216="",0,N216*K216/'9b-Vloeronderhoud'!$F$4)</f>
        <v>0</v>
      </c>
      <c r="P216" s="672"/>
      <c r="Q216" s="729" t="e">
        <f>IF(O216="",0,P216*L216/'9b-Vloeronderhoud'!$F$6)</f>
        <v>#DIV/0!</v>
      </c>
      <c r="R216" s="449">
        <v>1</v>
      </c>
      <c r="S216" s="672">
        <v>80</v>
      </c>
      <c r="T216" s="161" t="e">
        <f t="shared" si="18"/>
        <v>#DIV/0!</v>
      </c>
      <c r="U216" s="162">
        <f>IF(S216="nio",0,IF(S216&gt;0,VLOOKUP(G216,'3-Productie normen'!A:K,VLOOKUP(S216,'3-Productie normen'!L:N,3,FALSE),FALSE)))</f>
        <v>0</v>
      </c>
      <c r="V216" s="162">
        <f>VLOOKUP(G216,'3-Productie normen'!A:K,10,FALSE)</f>
        <v>16013.110036668773</v>
      </c>
      <c r="W216" s="163">
        <f>VLOOKUP(G216,'3-Productie normen'!A:K,11,FALSE)</f>
        <v>0</v>
      </c>
      <c r="X216" s="163"/>
      <c r="Z216" s="129">
        <f t="shared" si="19"/>
        <v>4456</v>
      </c>
    </row>
    <row r="217" spans="1:26" ht="14.1" customHeight="1">
      <c r="A217" s="144">
        <v>223</v>
      </c>
      <c r="B217" s="485" t="s">
        <v>231</v>
      </c>
      <c r="C217" s="485" t="s">
        <v>486</v>
      </c>
      <c r="D217" s="132" t="s">
        <v>98</v>
      </c>
      <c r="E217" s="708" t="s">
        <v>294</v>
      </c>
      <c r="F217" s="537" t="s">
        <v>99</v>
      </c>
      <c r="G217" s="460" t="s">
        <v>99</v>
      </c>
      <c r="H217" s="303" t="s">
        <v>332</v>
      </c>
      <c r="I217" s="582" t="str">
        <f>VLOOKUP(H217,'9a-Typen vloeren'!$A$10:$B$40,2,FALSE)</f>
        <v>Sproei/extraheren</v>
      </c>
      <c r="J217" s="589">
        <v>7</v>
      </c>
      <c r="K217" s="433">
        <f t="shared" si="15"/>
        <v>0</v>
      </c>
      <c r="L217" s="433">
        <f t="shared" si="16"/>
        <v>0</v>
      </c>
      <c r="M217" s="433">
        <f t="shared" si="17"/>
        <v>7</v>
      </c>
      <c r="N217" s="672"/>
      <c r="O217" s="729">
        <f>IF(N217="",0,N217*K217/'9b-Vloeronderhoud'!$F$4)</f>
        <v>0</v>
      </c>
      <c r="P217" s="672"/>
      <c r="Q217" s="729" t="e">
        <f>IF(O217="",0,P217*L217/'9b-Vloeronderhoud'!$F$6)</f>
        <v>#DIV/0!</v>
      </c>
      <c r="R217" s="449">
        <v>1</v>
      </c>
      <c r="S217" s="672">
        <v>190</v>
      </c>
      <c r="T217" s="161" t="e">
        <f t="shared" si="18"/>
        <v>#DIV/0!</v>
      </c>
      <c r="U217" s="162">
        <f>IF(S217="nio",0,IF(S217&gt;0,VLOOKUP(G217,'3-Productie normen'!A:K,VLOOKUP(S217,'3-Productie normen'!L:N,3,FALSE),FALSE)))</f>
        <v>0</v>
      </c>
      <c r="V217" s="162">
        <f>VLOOKUP(G217,'3-Productie normen'!A:K,10,FALSE)</f>
        <v>726.97999910354622</v>
      </c>
      <c r="W217" s="163">
        <f>VLOOKUP(G217,'3-Productie normen'!A:K,11,FALSE)</f>
        <v>0</v>
      </c>
      <c r="X217" s="163"/>
      <c r="Z217" s="129">
        <f t="shared" si="19"/>
        <v>1330</v>
      </c>
    </row>
    <row r="218" spans="1:26" ht="14.1" customHeight="1">
      <c r="A218" s="144">
        <v>224</v>
      </c>
      <c r="B218" s="485" t="s">
        <v>231</v>
      </c>
      <c r="C218" s="485" t="s">
        <v>486</v>
      </c>
      <c r="D218" s="132" t="s">
        <v>98</v>
      </c>
      <c r="E218" s="708" t="s">
        <v>295</v>
      </c>
      <c r="F218" s="539" t="s">
        <v>404</v>
      </c>
      <c r="G218" s="460" t="s">
        <v>286</v>
      </c>
      <c r="H218" s="537" t="s">
        <v>100</v>
      </c>
      <c r="I218" s="582" t="str">
        <f>VLOOKUP(H218,'9a-Typen vloeren'!$A$10:$B$40,2,FALSE)</f>
        <v>Sprayen/ conserveren</v>
      </c>
      <c r="J218" s="589">
        <v>91</v>
      </c>
      <c r="K218" s="433">
        <f t="shared" si="15"/>
        <v>91</v>
      </c>
      <c r="L218" s="433">
        <f t="shared" si="16"/>
        <v>0</v>
      </c>
      <c r="M218" s="433">
        <f t="shared" si="17"/>
        <v>0</v>
      </c>
      <c r="N218" s="672">
        <v>2</v>
      </c>
      <c r="O218" s="729" t="e">
        <f>IF(N218="",0,N218*K218/'9b-Vloeronderhoud'!$F$4)</f>
        <v>#DIV/0!</v>
      </c>
      <c r="P218" s="672"/>
      <c r="Q218" s="729" t="e">
        <f>IF(O218="",0,P218*L218/'9b-Vloeronderhoud'!$F$6)</f>
        <v>#DIV/0!</v>
      </c>
      <c r="R218" s="449">
        <v>1</v>
      </c>
      <c r="S218" s="672">
        <v>120</v>
      </c>
      <c r="T218" s="161" t="e">
        <f t="shared" si="18"/>
        <v>#DIV/0!</v>
      </c>
      <c r="U218" s="162">
        <f>IF(S218="nio",0,IF(S218&gt;0,VLOOKUP(G218,'3-Productie normen'!A:K,VLOOKUP(S218,'3-Productie normen'!L:N,3,FALSE),FALSE)))</f>
        <v>0</v>
      </c>
      <c r="V218" s="162">
        <f>VLOOKUP(G218,'3-Productie normen'!A:K,10,FALSE)</f>
        <v>6152.9500017547598</v>
      </c>
      <c r="W218" s="163">
        <f>VLOOKUP(G218,'3-Productie normen'!A:K,11,FALSE)</f>
        <v>0</v>
      </c>
      <c r="X218" s="163"/>
      <c r="Z218" s="129">
        <f t="shared" si="19"/>
        <v>10920</v>
      </c>
    </row>
    <row r="219" spans="1:26" ht="14.1" customHeight="1">
      <c r="A219" s="144">
        <v>225</v>
      </c>
      <c r="B219" s="485" t="s">
        <v>231</v>
      </c>
      <c r="C219" s="485" t="s">
        <v>486</v>
      </c>
      <c r="D219" s="132" t="s">
        <v>98</v>
      </c>
      <c r="E219" s="708" t="s">
        <v>296</v>
      </c>
      <c r="F219" s="502" t="s">
        <v>347</v>
      </c>
      <c r="G219" s="502" t="s">
        <v>347</v>
      </c>
      <c r="H219" s="537" t="s">
        <v>335</v>
      </c>
      <c r="I219" s="582" t="str">
        <f>VLOOKUP(H219,'9a-Typen vloeren'!$A$10:$B$40,2,FALSE)</f>
        <v>Schrobben</v>
      </c>
      <c r="J219" s="589">
        <v>64</v>
      </c>
      <c r="K219" s="433">
        <f t="shared" si="15"/>
        <v>0</v>
      </c>
      <c r="L219" s="433">
        <f t="shared" si="16"/>
        <v>64</v>
      </c>
      <c r="M219" s="433">
        <f t="shared" si="17"/>
        <v>0</v>
      </c>
      <c r="N219" s="672"/>
      <c r="O219" s="729">
        <f>IF(N219="",0,N219*K219/'9b-Vloeronderhoud'!$F$4)</f>
        <v>0</v>
      </c>
      <c r="P219" s="672">
        <v>3</v>
      </c>
      <c r="Q219" s="729" t="e">
        <f>IF(O219="",0,P219*L219/'9b-Vloeronderhoud'!$F$6)</f>
        <v>#DIV/0!</v>
      </c>
      <c r="R219" s="449">
        <v>1</v>
      </c>
      <c r="S219" s="672">
        <v>44</v>
      </c>
      <c r="T219" s="161" t="e">
        <f t="shared" si="18"/>
        <v>#DIV/0!</v>
      </c>
      <c r="U219" s="162">
        <f>IF(S219="nio",0,IF(S219&gt;0,VLOOKUP(G219,'3-Productie normen'!A:K,VLOOKUP(S219,'3-Productie normen'!L:N,3,FALSE),FALSE)))</f>
        <v>0</v>
      </c>
      <c r="V219" s="162">
        <f>VLOOKUP(G219,'3-Productie normen'!A:K,10,FALSE)</f>
        <v>1134.6299961853026</v>
      </c>
      <c r="W219" s="163">
        <f>VLOOKUP(G219,'3-Productie normen'!A:K,11,FALSE)</f>
        <v>0</v>
      </c>
      <c r="X219" s="163"/>
      <c r="Z219" s="129">
        <f t="shared" si="19"/>
        <v>2816</v>
      </c>
    </row>
    <row r="220" spans="1:26" ht="14.1" customHeight="1">
      <c r="A220" s="144">
        <v>226</v>
      </c>
      <c r="B220" s="485" t="s">
        <v>231</v>
      </c>
      <c r="C220" s="485" t="s">
        <v>486</v>
      </c>
      <c r="D220" s="132" t="s">
        <v>98</v>
      </c>
      <c r="E220" s="708" t="s">
        <v>296</v>
      </c>
      <c r="F220" s="537" t="s">
        <v>347</v>
      </c>
      <c r="G220" s="502" t="s">
        <v>347</v>
      </c>
      <c r="H220" s="537" t="s">
        <v>100</v>
      </c>
      <c r="I220" s="582" t="str">
        <f>VLOOKUP(H220,'9a-Typen vloeren'!$A$10:$B$40,2,FALSE)</f>
        <v>Sprayen/ conserveren</v>
      </c>
      <c r="J220" s="589">
        <v>20</v>
      </c>
      <c r="K220" s="433">
        <f t="shared" si="15"/>
        <v>20</v>
      </c>
      <c r="L220" s="433">
        <f t="shared" si="16"/>
        <v>0</v>
      </c>
      <c r="M220" s="433">
        <f t="shared" si="17"/>
        <v>0</v>
      </c>
      <c r="N220" s="672"/>
      <c r="O220" s="729">
        <f>IF(N220="",0,N220*K220/'9b-Vloeronderhoud'!$F$4)</f>
        <v>0</v>
      </c>
      <c r="P220" s="672"/>
      <c r="Q220" s="729" t="e">
        <f>IF(O220="",0,P220*L220/'9b-Vloeronderhoud'!$F$6)</f>
        <v>#DIV/0!</v>
      </c>
      <c r="R220" s="449">
        <v>1</v>
      </c>
      <c r="S220" s="672">
        <v>44</v>
      </c>
      <c r="T220" s="161" t="e">
        <f t="shared" si="18"/>
        <v>#DIV/0!</v>
      </c>
      <c r="U220" s="162">
        <f>IF(S220="nio",0,IF(S220&gt;0,VLOOKUP(G220,'3-Productie normen'!A:K,VLOOKUP(S220,'3-Productie normen'!L:N,3,FALSE),FALSE)))</f>
        <v>0</v>
      </c>
      <c r="V220" s="162">
        <f>VLOOKUP(G220,'3-Productie normen'!A:K,10,FALSE)</f>
        <v>1134.6299961853026</v>
      </c>
      <c r="W220" s="163">
        <f>VLOOKUP(G220,'3-Productie normen'!A:K,11,FALSE)</f>
        <v>0</v>
      </c>
      <c r="X220" s="163"/>
      <c r="Z220" s="129">
        <f t="shared" si="19"/>
        <v>880</v>
      </c>
    </row>
    <row r="221" spans="1:26" ht="14.1" customHeight="1">
      <c r="A221" s="144">
        <v>227</v>
      </c>
      <c r="B221" s="485" t="s">
        <v>231</v>
      </c>
      <c r="C221" s="485" t="s">
        <v>486</v>
      </c>
      <c r="D221" s="132" t="s">
        <v>98</v>
      </c>
      <c r="E221" s="708" t="s">
        <v>298</v>
      </c>
      <c r="F221" s="536" t="s">
        <v>282</v>
      </c>
      <c r="G221" s="460" t="s">
        <v>881</v>
      </c>
      <c r="H221" s="537" t="s">
        <v>100</v>
      </c>
      <c r="I221" s="582" t="str">
        <f>VLOOKUP(H221,'9a-Typen vloeren'!$A$10:$B$40,2,FALSE)</f>
        <v>Sprayen/ conserveren</v>
      </c>
      <c r="J221" s="589">
        <v>4</v>
      </c>
      <c r="K221" s="433">
        <f t="shared" si="15"/>
        <v>0</v>
      </c>
      <c r="L221" s="433">
        <f t="shared" si="16"/>
        <v>0</v>
      </c>
      <c r="M221" s="433">
        <f t="shared" si="17"/>
        <v>0</v>
      </c>
      <c r="N221" s="672"/>
      <c r="O221" s="729">
        <f>IF(N221="",0,N221*K221/'9b-Vloeronderhoud'!$F$4)</f>
        <v>0</v>
      </c>
      <c r="P221" s="672"/>
      <c r="Q221" s="729" t="e">
        <f>IF(O221="",0,P221*L221/'9b-Vloeronderhoud'!$F$6)</f>
        <v>#DIV/0!</v>
      </c>
      <c r="R221" s="449">
        <v>1</v>
      </c>
      <c r="S221" s="672" t="s">
        <v>179</v>
      </c>
      <c r="T221" s="161">
        <f t="shared" si="18"/>
        <v>0</v>
      </c>
      <c r="U221" s="162">
        <f>IF(S221="nio",0,IF(S221&gt;0,VLOOKUP(G221,'3-Productie normen'!A:K,VLOOKUP(S221,'3-Productie normen'!L:N,3,FALSE),FALSE)))</f>
        <v>0</v>
      </c>
      <c r="V221" s="162">
        <f>VLOOKUP(G221,'3-Productie normen'!A:K,10,FALSE)</f>
        <v>5262.809993648526</v>
      </c>
      <c r="W221" s="163">
        <f>VLOOKUP(G221,'3-Productie normen'!A:K,11,FALSE)</f>
        <v>0</v>
      </c>
      <c r="X221" s="163"/>
      <c r="Z221" s="129">
        <f t="shared" si="19"/>
        <v>0</v>
      </c>
    </row>
    <row r="222" spans="1:26" ht="14.1" customHeight="1">
      <c r="A222" s="144">
        <v>228</v>
      </c>
      <c r="B222" s="485" t="s">
        <v>231</v>
      </c>
      <c r="C222" s="485" t="s">
        <v>486</v>
      </c>
      <c r="D222" s="132" t="s">
        <v>98</v>
      </c>
      <c r="E222" s="708" t="s">
        <v>301</v>
      </c>
      <c r="F222" s="536" t="s">
        <v>282</v>
      </c>
      <c r="G222" s="460" t="s">
        <v>881</v>
      </c>
      <c r="H222" s="537" t="s">
        <v>335</v>
      </c>
      <c r="I222" s="582" t="str">
        <f>VLOOKUP(H222,'9a-Typen vloeren'!$A$10:$B$40,2,FALSE)</f>
        <v>Schrobben</v>
      </c>
      <c r="J222" s="589">
        <v>8</v>
      </c>
      <c r="K222" s="433">
        <f t="shared" si="15"/>
        <v>0</v>
      </c>
      <c r="L222" s="433">
        <f t="shared" si="16"/>
        <v>0</v>
      </c>
      <c r="M222" s="433">
        <f t="shared" si="17"/>
        <v>0</v>
      </c>
      <c r="N222" s="672"/>
      <c r="O222" s="729">
        <f>IF(N222="",0,N222*K222/'9b-Vloeronderhoud'!$F$4)</f>
        <v>0</v>
      </c>
      <c r="P222" s="672"/>
      <c r="Q222" s="729" t="e">
        <f>IF(O222="",0,P222*L222/'9b-Vloeronderhoud'!$F$6)</f>
        <v>#DIV/0!</v>
      </c>
      <c r="R222" s="449">
        <v>1</v>
      </c>
      <c r="S222" s="672" t="s">
        <v>179</v>
      </c>
      <c r="T222" s="161">
        <f t="shared" si="18"/>
        <v>0</v>
      </c>
      <c r="U222" s="162">
        <f>IF(S222="nio",0,IF(S222&gt;0,VLOOKUP(G222,'3-Productie normen'!A:K,VLOOKUP(S222,'3-Productie normen'!L:N,3,FALSE),FALSE)))</f>
        <v>0</v>
      </c>
      <c r="V222" s="162">
        <f>VLOOKUP(G222,'3-Productie normen'!A:K,10,FALSE)</f>
        <v>5262.809993648526</v>
      </c>
      <c r="W222" s="163">
        <f>VLOOKUP(G222,'3-Productie normen'!A:K,11,FALSE)</f>
        <v>0</v>
      </c>
      <c r="X222" s="163"/>
      <c r="Z222" s="129">
        <f t="shared" si="19"/>
        <v>0</v>
      </c>
    </row>
    <row r="223" spans="1:26" ht="14.1" customHeight="1">
      <c r="A223" s="144">
        <v>229</v>
      </c>
      <c r="B223" s="485" t="s">
        <v>231</v>
      </c>
      <c r="C223" s="485" t="s">
        <v>486</v>
      </c>
      <c r="D223" s="132" t="s">
        <v>98</v>
      </c>
      <c r="E223" s="708" t="s">
        <v>303</v>
      </c>
      <c r="F223" s="536" t="s">
        <v>302</v>
      </c>
      <c r="G223" s="546" t="s">
        <v>18</v>
      </c>
      <c r="H223" s="303" t="s">
        <v>967</v>
      </c>
      <c r="I223" s="582" t="str">
        <f>VLOOKUP(H223,'9a-Typen vloeren'!$A$10:$B$40,2,FALSE)</f>
        <v>zie kwaliteitsontwerp</v>
      </c>
      <c r="J223" s="589">
        <v>1</v>
      </c>
      <c r="K223" s="433">
        <f t="shared" si="15"/>
        <v>0</v>
      </c>
      <c r="L223" s="433">
        <f t="shared" si="16"/>
        <v>0</v>
      </c>
      <c r="M223" s="433">
        <f t="shared" si="17"/>
        <v>0</v>
      </c>
      <c r="N223" s="672"/>
      <c r="O223" s="729">
        <f>IF(N223="",0,N223*K223/'9b-Vloeronderhoud'!$F$4)</f>
        <v>0</v>
      </c>
      <c r="P223" s="672"/>
      <c r="Q223" s="729" t="e">
        <f>IF(O223="",0,P223*L223/'9b-Vloeronderhoud'!$F$6)</f>
        <v>#DIV/0!</v>
      </c>
      <c r="R223" s="449">
        <v>1</v>
      </c>
      <c r="S223" s="672">
        <v>190</v>
      </c>
      <c r="T223" s="161" t="e">
        <f t="shared" si="18"/>
        <v>#DIV/0!</v>
      </c>
      <c r="U223" s="162">
        <f>IF(S223="nio",0,IF(S223&gt;0,VLOOKUP(G223,'3-Productie normen'!A:K,VLOOKUP(S223,'3-Productie normen'!L:N,3,FALSE),FALSE)))</f>
        <v>0</v>
      </c>
      <c r="V223" s="162">
        <f>VLOOKUP(G223,'3-Productie normen'!A:K,10,FALSE)</f>
        <v>1859.5880019121171</v>
      </c>
      <c r="W223" s="163">
        <f>VLOOKUP(G223,'3-Productie normen'!A:K,11,FALSE)</f>
        <v>0</v>
      </c>
      <c r="X223" s="163"/>
      <c r="Z223" s="129">
        <f t="shared" si="19"/>
        <v>190</v>
      </c>
    </row>
    <row r="224" spans="1:26" ht="14.1" customHeight="1">
      <c r="A224" s="144">
        <v>230</v>
      </c>
      <c r="B224" s="485" t="s">
        <v>231</v>
      </c>
      <c r="C224" s="485" t="s">
        <v>486</v>
      </c>
      <c r="D224" s="132" t="s">
        <v>98</v>
      </c>
      <c r="E224" s="708" t="s">
        <v>305</v>
      </c>
      <c r="F224" s="537" t="s">
        <v>302</v>
      </c>
      <c r="G224" s="160" t="s">
        <v>18</v>
      </c>
      <c r="H224" s="303" t="s">
        <v>967</v>
      </c>
      <c r="I224" s="582" t="str">
        <f>VLOOKUP(H224,'9a-Typen vloeren'!$A$10:$B$40,2,FALSE)</f>
        <v>zie kwaliteitsontwerp</v>
      </c>
      <c r="J224" s="589">
        <v>1</v>
      </c>
      <c r="K224" s="433">
        <f t="shared" si="15"/>
        <v>0</v>
      </c>
      <c r="L224" s="433">
        <f t="shared" si="16"/>
        <v>0</v>
      </c>
      <c r="M224" s="433">
        <f t="shared" si="17"/>
        <v>0</v>
      </c>
      <c r="N224" s="672"/>
      <c r="O224" s="729">
        <f>IF(N224="",0,N224*K224/'9b-Vloeronderhoud'!$F$4)</f>
        <v>0</v>
      </c>
      <c r="P224" s="672"/>
      <c r="Q224" s="729" t="e">
        <f>IF(O224="",0,P224*L224/'9b-Vloeronderhoud'!$F$6)</f>
        <v>#DIV/0!</v>
      </c>
      <c r="R224" s="449">
        <v>1</v>
      </c>
      <c r="S224" s="672">
        <v>190</v>
      </c>
      <c r="T224" s="161" t="e">
        <f t="shared" si="18"/>
        <v>#DIV/0!</v>
      </c>
      <c r="U224" s="162">
        <f>IF(S224="nio",0,IF(S224&gt;0,VLOOKUP(G224,'3-Productie normen'!A:K,VLOOKUP(S224,'3-Productie normen'!L:N,3,FALSE),FALSE)))</f>
        <v>0</v>
      </c>
      <c r="V224" s="162">
        <f>VLOOKUP(G224,'3-Productie normen'!A:K,10,FALSE)</f>
        <v>1859.5880019121171</v>
      </c>
      <c r="W224" s="163">
        <f>VLOOKUP(G224,'3-Productie normen'!A:K,11,FALSE)</f>
        <v>0</v>
      </c>
      <c r="X224" s="163"/>
      <c r="Z224" s="129">
        <f t="shared" si="19"/>
        <v>190</v>
      </c>
    </row>
    <row r="225" spans="1:26" ht="14.1" customHeight="1">
      <c r="A225" s="144">
        <v>231</v>
      </c>
      <c r="B225" s="485" t="s">
        <v>231</v>
      </c>
      <c r="C225" s="485" t="s">
        <v>486</v>
      </c>
      <c r="D225" s="132" t="s">
        <v>98</v>
      </c>
      <c r="E225" s="708" t="s">
        <v>306</v>
      </c>
      <c r="F225" s="537" t="s">
        <v>302</v>
      </c>
      <c r="G225" s="160" t="s">
        <v>18</v>
      </c>
      <c r="H225" s="303" t="s">
        <v>967</v>
      </c>
      <c r="I225" s="582" t="str">
        <f>VLOOKUP(H225,'9a-Typen vloeren'!$A$10:$B$40,2,FALSE)</f>
        <v>zie kwaliteitsontwerp</v>
      </c>
      <c r="J225" s="589">
        <v>1</v>
      </c>
      <c r="K225" s="433">
        <f t="shared" si="15"/>
        <v>0</v>
      </c>
      <c r="L225" s="433">
        <f t="shared" si="16"/>
        <v>0</v>
      </c>
      <c r="M225" s="433">
        <f t="shared" si="17"/>
        <v>0</v>
      </c>
      <c r="N225" s="672"/>
      <c r="O225" s="729">
        <f>IF(N225="",0,N225*K225/'9b-Vloeronderhoud'!$F$4)</f>
        <v>0</v>
      </c>
      <c r="P225" s="672"/>
      <c r="Q225" s="729" t="e">
        <f>IF(O225="",0,P225*L225/'9b-Vloeronderhoud'!$F$6)</f>
        <v>#DIV/0!</v>
      </c>
      <c r="R225" s="449">
        <v>1</v>
      </c>
      <c r="S225" s="672">
        <v>190</v>
      </c>
      <c r="T225" s="161" t="e">
        <f t="shared" si="18"/>
        <v>#DIV/0!</v>
      </c>
      <c r="U225" s="162">
        <f>IF(S225="nio",0,IF(S225&gt;0,VLOOKUP(G225,'3-Productie normen'!A:K,VLOOKUP(S225,'3-Productie normen'!L:N,3,FALSE),FALSE)))</f>
        <v>0</v>
      </c>
      <c r="V225" s="162">
        <f>VLOOKUP(G225,'3-Productie normen'!A:K,10,FALSE)</f>
        <v>1859.5880019121171</v>
      </c>
      <c r="W225" s="163">
        <f>VLOOKUP(G225,'3-Productie normen'!A:K,11,FALSE)</f>
        <v>0</v>
      </c>
      <c r="X225" s="163"/>
      <c r="Z225" s="129">
        <f t="shared" si="19"/>
        <v>190</v>
      </c>
    </row>
    <row r="226" spans="1:26" ht="14.1" customHeight="1">
      <c r="A226" s="144">
        <v>232</v>
      </c>
      <c r="B226" s="485" t="s">
        <v>231</v>
      </c>
      <c r="C226" s="485" t="s">
        <v>486</v>
      </c>
      <c r="D226" s="132" t="s">
        <v>98</v>
      </c>
      <c r="E226" s="708" t="s">
        <v>307</v>
      </c>
      <c r="F226" s="537" t="s">
        <v>288</v>
      </c>
      <c r="G226" s="460" t="s">
        <v>881</v>
      </c>
      <c r="H226" s="537" t="s">
        <v>100</v>
      </c>
      <c r="I226" s="582" t="str">
        <f>VLOOKUP(H226,'9a-Typen vloeren'!$A$10:$B$40,2,FALSE)</f>
        <v>Sprayen/ conserveren</v>
      </c>
      <c r="J226" s="589">
        <v>39</v>
      </c>
      <c r="K226" s="433">
        <f t="shared" si="15"/>
        <v>0</v>
      </c>
      <c r="L226" s="433">
        <f t="shared" si="16"/>
        <v>0</v>
      </c>
      <c r="M226" s="433">
        <f t="shared" si="17"/>
        <v>0</v>
      </c>
      <c r="N226" s="672">
        <v>2</v>
      </c>
      <c r="O226" s="729" t="e">
        <f>IF(N226="",0,N226*K226/'9b-Vloeronderhoud'!$F$4)</f>
        <v>#DIV/0!</v>
      </c>
      <c r="P226" s="672"/>
      <c r="Q226" s="729" t="e">
        <f>IF(O226="",0,P226*L226/'9b-Vloeronderhoud'!$F$6)</f>
        <v>#DIV/0!</v>
      </c>
      <c r="R226" s="449">
        <v>1</v>
      </c>
      <c r="S226" s="672" t="s">
        <v>179</v>
      </c>
      <c r="T226" s="161">
        <f t="shared" si="18"/>
        <v>0</v>
      </c>
      <c r="U226" s="162">
        <f>IF(S226="nio",0,IF(S226&gt;0,VLOOKUP(G226,'3-Productie normen'!A:K,VLOOKUP(S226,'3-Productie normen'!L:N,3,FALSE),FALSE)))</f>
        <v>0</v>
      </c>
      <c r="V226" s="162">
        <f>VLOOKUP(G226,'3-Productie normen'!A:K,10,FALSE)</f>
        <v>5262.809993648526</v>
      </c>
      <c r="W226" s="163">
        <f>VLOOKUP(G226,'3-Productie normen'!A:K,11,FALSE)</f>
        <v>0</v>
      </c>
      <c r="X226" s="163" t="s">
        <v>880</v>
      </c>
      <c r="Z226" s="129">
        <f t="shared" si="19"/>
        <v>0</v>
      </c>
    </row>
    <row r="227" spans="1:26" ht="14.1" customHeight="1">
      <c r="A227" s="144">
        <v>233</v>
      </c>
      <c r="B227" s="485" t="s">
        <v>231</v>
      </c>
      <c r="C227" s="485" t="s">
        <v>486</v>
      </c>
      <c r="D227" s="132" t="s">
        <v>98</v>
      </c>
      <c r="E227" s="708" t="s">
        <v>309</v>
      </c>
      <c r="F227" s="537" t="s">
        <v>99</v>
      </c>
      <c r="G227" s="460" t="s">
        <v>881</v>
      </c>
      <c r="H227" s="303" t="s">
        <v>332</v>
      </c>
      <c r="I227" s="582" t="str">
        <f>VLOOKUP(H227,'9a-Typen vloeren'!$A$10:$B$40,2,FALSE)</f>
        <v>Sproei/extraheren</v>
      </c>
      <c r="J227" s="589">
        <v>4</v>
      </c>
      <c r="K227" s="433">
        <f t="shared" si="15"/>
        <v>0</v>
      </c>
      <c r="L227" s="433">
        <f t="shared" si="16"/>
        <v>0</v>
      </c>
      <c r="M227" s="433">
        <f t="shared" si="17"/>
        <v>0</v>
      </c>
      <c r="N227" s="672"/>
      <c r="O227" s="729">
        <f>IF(N227="",0,N227*K227/'9b-Vloeronderhoud'!$F$4)</f>
        <v>0</v>
      </c>
      <c r="P227" s="672"/>
      <c r="Q227" s="729" t="e">
        <f>IF(O227="",0,P227*L227/'9b-Vloeronderhoud'!$F$6)</f>
        <v>#DIV/0!</v>
      </c>
      <c r="R227" s="449">
        <v>1</v>
      </c>
      <c r="S227" s="672" t="s">
        <v>179</v>
      </c>
      <c r="T227" s="161">
        <f t="shared" si="18"/>
        <v>0</v>
      </c>
      <c r="U227" s="162">
        <f>IF(S227="nio",0,IF(S227&gt;0,VLOOKUP(G227,'3-Productie normen'!A:K,VLOOKUP(S227,'3-Productie normen'!L:N,3,FALSE),FALSE)))</f>
        <v>0</v>
      </c>
      <c r="V227" s="162">
        <f>VLOOKUP(G227,'3-Productie normen'!A:K,10,FALSE)</f>
        <v>5262.809993648526</v>
      </c>
      <c r="W227" s="163">
        <f>VLOOKUP(G227,'3-Productie normen'!A:K,11,FALSE)</f>
        <v>0</v>
      </c>
      <c r="X227" s="163" t="s">
        <v>880</v>
      </c>
      <c r="Z227" s="129">
        <f t="shared" si="19"/>
        <v>0</v>
      </c>
    </row>
    <row r="228" spans="1:26" ht="14.1" customHeight="1">
      <c r="A228" s="144">
        <v>234</v>
      </c>
      <c r="B228" s="485" t="s">
        <v>231</v>
      </c>
      <c r="C228" s="485" t="s">
        <v>486</v>
      </c>
      <c r="D228" s="132" t="s">
        <v>98</v>
      </c>
      <c r="E228" s="709" t="s">
        <v>311</v>
      </c>
      <c r="F228" s="542" t="s">
        <v>297</v>
      </c>
      <c r="G228" s="460" t="s">
        <v>881</v>
      </c>
      <c r="H228" s="537" t="s">
        <v>398</v>
      </c>
      <c r="I228" s="582" t="str">
        <f>VLOOKUP(H228,'9a-Typen vloeren'!$A$10:$B$40,2,FALSE)</f>
        <v>n.v.t.</v>
      </c>
      <c r="J228" s="589">
        <v>19</v>
      </c>
      <c r="K228" s="433">
        <f t="shared" si="15"/>
        <v>0</v>
      </c>
      <c r="L228" s="433">
        <f t="shared" si="16"/>
        <v>0</v>
      </c>
      <c r="M228" s="433">
        <f t="shared" si="17"/>
        <v>0</v>
      </c>
      <c r="N228" s="672"/>
      <c r="O228" s="729">
        <f>IF(N228="",0,N228*K228/'9b-Vloeronderhoud'!$F$4)</f>
        <v>0</v>
      </c>
      <c r="P228" s="672"/>
      <c r="Q228" s="729" t="e">
        <f>IF(O228="",0,P228*L228/'9b-Vloeronderhoud'!$F$6)</f>
        <v>#DIV/0!</v>
      </c>
      <c r="R228" s="449">
        <v>1</v>
      </c>
      <c r="S228" s="672" t="s">
        <v>179</v>
      </c>
      <c r="T228" s="161">
        <f t="shared" si="18"/>
        <v>0</v>
      </c>
      <c r="U228" s="162">
        <f>IF(S228="nio",0,IF(S228&gt;0,VLOOKUP(G228,'3-Productie normen'!A:K,VLOOKUP(S228,'3-Productie normen'!L:N,3,FALSE),FALSE)))</f>
        <v>0</v>
      </c>
      <c r="V228" s="162">
        <f>VLOOKUP(G228,'3-Productie normen'!A:K,10,FALSE)</f>
        <v>5262.809993648526</v>
      </c>
      <c r="W228" s="163">
        <f>VLOOKUP(G228,'3-Productie normen'!A:K,11,FALSE)</f>
        <v>0</v>
      </c>
      <c r="X228" s="163" t="s">
        <v>880</v>
      </c>
      <c r="Z228" s="129">
        <f t="shared" si="19"/>
        <v>0</v>
      </c>
    </row>
    <row r="229" spans="1:26" ht="14.1" customHeight="1">
      <c r="A229" s="144">
        <v>235</v>
      </c>
      <c r="B229" s="485" t="s">
        <v>231</v>
      </c>
      <c r="C229" s="485" t="s">
        <v>486</v>
      </c>
      <c r="D229" s="132" t="s">
        <v>98</v>
      </c>
      <c r="E229" s="708" t="s">
        <v>312</v>
      </c>
      <c r="F229" s="539" t="s">
        <v>281</v>
      </c>
      <c r="G229" s="460" t="s">
        <v>881</v>
      </c>
      <c r="H229" s="537" t="s">
        <v>100</v>
      </c>
      <c r="I229" s="582" t="str">
        <f>VLOOKUP(H229,'9a-Typen vloeren'!$A$10:$B$40,2,FALSE)</f>
        <v>Sprayen/ conserveren</v>
      </c>
      <c r="J229" s="589">
        <v>4</v>
      </c>
      <c r="K229" s="433">
        <f t="shared" si="15"/>
        <v>0</v>
      </c>
      <c r="L229" s="433">
        <f t="shared" si="16"/>
        <v>0</v>
      </c>
      <c r="M229" s="433">
        <f t="shared" si="17"/>
        <v>0</v>
      </c>
      <c r="N229" s="672"/>
      <c r="O229" s="729">
        <f>IF(N229="",0,N229*K229/'9b-Vloeronderhoud'!$F$4)</f>
        <v>0</v>
      </c>
      <c r="P229" s="672"/>
      <c r="Q229" s="729" t="e">
        <f>IF(O229="",0,P229*L229/'9b-Vloeronderhoud'!$F$6)</f>
        <v>#DIV/0!</v>
      </c>
      <c r="R229" s="449">
        <v>1</v>
      </c>
      <c r="S229" s="672" t="s">
        <v>179</v>
      </c>
      <c r="T229" s="161">
        <f t="shared" si="18"/>
        <v>0</v>
      </c>
      <c r="U229" s="162">
        <f>IF(S229="nio",0,IF(S229&gt;0,VLOOKUP(G229,'3-Productie normen'!A:K,VLOOKUP(S229,'3-Productie normen'!L:N,3,FALSE),FALSE)))</f>
        <v>0</v>
      </c>
      <c r="V229" s="162">
        <f>VLOOKUP(G229,'3-Productie normen'!A:K,10,FALSE)</f>
        <v>5262.809993648526</v>
      </c>
      <c r="W229" s="163">
        <f>VLOOKUP(G229,'3-Productie normen'!A:K,11,FALSE)</f>
        <v>0</v>
      </c>
      <c r="X229" s="163"/>
      <c r="Z229" s="129">
        <f t="shared" si="19"/>
        <v>0</v>
      </c>
    </row>
    <row r="230" spans="1:26" ht="14.1" customHeight="1">
      <c r="A230" s="144">
        <v>236</v>
      </c>
      <c r="B230" s="485" t="s">
        <v>231</v>
      </c>
      <c r="C230" s="485" t="s">
        <v>486</v>
      </c>
      <c r="D230" s="132" t="s">
        <v>98</v>
      </c>
      <c r="E230" s="708" t="s">
        <v>314</v>
      </c>
      <c r="F230" s="536" t="s">
        <v>302</v>
      </c>
      <c r="G230" s="460" t="s">
        <v>881</v>
      </c>
      <c r="H230" s="537" t="s">
        <v>335</v>
      </c>
      <c r="I230" s="582" t="str">
        <f>VLOOKUP(H230,'9a-Typen vloeren'!$A$10:$B$40,2,FALSE)</f>
        <v>Schrobben</v>
      </c>
      <c r="J230" s="589">
        <v>5</v>
      </c>
      <c r="K230" s="433">
        <f t="shared" si="15"/>
        <v>0</v>
      </c>
      <c r="L230" s="433">
        <f t="shared" si="16"/>
        <v>0</v>
      </c>
      <c r="M230" s="433">
        <f t="shared" si="17"/>
        <v>0</v>
      </c>
      <c r="N230" s="672"/>
      <c r="O230" s="729">
        <f>IF(N230="",0,N230*K230/'9b-Vloeronderhoud'!$F$4)</f>
        <v>0</v>
      </c>
      <c r="P230" s="672"/>
      <c r="Q230" s="729" t="e">
        <f>IF(O230="",0,P230*L230/'9b-Vloeronderhoud'!$F$6)</f>
        <v>#DIV/0!</v>
      </c>
      <c r="R230" s="449">
        <v>1</v>
      </c>
      <c r="S230" s="672" t="s">
        <v>179</v>
      </c>
      <c r="T230" s="161">
        <f t="shared" si="18"/>
        <v>0</v>
      </c>
      <c r="U230" s="162">
        <f>IF(S230="nio",0,IF(S230&gt;0,VLOOKUP(G230,'3-Productie normen'!A:K,VLOOKUP(S230,'3-Productie normen'!L:N,3,FALSE),FALSE)))</f>
        <v>0</v>
      </c>
      <c r="V230" s="162">
        <f>VLOOKUP(G230,'3-Productie normen'!A:K,10,FALSE)</f>
        <v>5262.809993648526</v>
      </c>
      <c r="W230" s="163">
        <f>VLOOKUP(G230,'3-Productie normen'!A:K,11,FALSE)</f>
        <v>0</v>
      </c>
      <c r="X230" s="163" t="s">
        <v>880</v>
      </c>
      <c r="Z230" s="129">
        <f t="shared" si="19"/>
        <v>0</v>
      </c>
    </row>
    <row r="231" spans="1:26" ht="14.1" customHeight="1">
      <c r="A231" s="144">
        <v>237</v>
      </c>
      <c r="B231" s="485" t="s">
        <v>231</v>
      </c>
      <c r="C231" s="485" t="s">
        <v>486</v>
      </c>
      <c r="D231" s="132" t="s">
        <v>98</v>
      </c>
      <c r="E231" s="708" t="s">
        <v>315</v>
      </c>
      <c r="F231" s="536" t="s">
        <v>341</v>
      </c>
      <c r="G231" s="460" t="s">
        <v>881</v>
      </c>
      <c r="H231" s="537" t="s">
        <v>335</v>
      </c>
      <c r="I231" s="582" t="str">
        <f>VLOOKUP(H231,'9a-Typen vloeren'!$A$10:$B$40,2,FALSE)</f>
        <v>Schrobben</v>
      </c>
      <c r="J231" s="589">
        <v>12</v>
      </c>
      <c r="K231" s="433">
        <f t="shared" si="15"/>
        <v>0</v>
      </c>
      <c r="L231" s="433">
        <f t="shared" si="16"/>
        <v>0</v>
      </c>
      <c r="M231" s="433">
        <f t="shared" si="17"/>
        <v>0</v>
      </c>
      <c r="N231" s="672"/>
      <c r="O231" s="729">
        <f>IF(N231="",0,N231*K231/'9b-Vloeronderhoud'!$F$4)</f>
        <v>0</v>
      </c>
      <c r="P231" s="672"/>
      <c r="Q231" s="729" t="e">
        <f>IF(O231="",0,P231*L231/'9b-Vloeronderhoud'!$F$6)</f>
        <v>#DIV/0!</v>
      </c>
      <c r="R231" s="449">
        <v>1</v>
      </c>
      <c r="S231" s="672" t="s">
        <v>179</v>
      </c>
      <c r="T231" s="161">
        <f t="shared" si="18"/>
        <v>0</v>
      </c>
      <c r="U231" s="162">
        <f>IF(S231="nio",0,IF(S231&gt;0,VLOOKUP(G231,'3-Productie normen'!A:K,VLOOKUP(S231,'3-Productie normen'!L:N,3,FALSE),FALSE)))</f>
        <v>0</v>
      </c>
      <c r="V231" s="162">
        <f>VLOOKUP(G231,'3-Productie normen'!A:K,10,FALSE)</f>
        <v>5262.809993648526</v>
      </c>
      <c r="W231" s="163">
        <f>VLOOKUP(G231,'3-Productie normen'!A:K,11,FALSE)</f>
        <v>0</v>
      </c>
      <c r="X231" s="163" t="s">
        <v>880</v>
      </c>
      <c r="Z231" s="129">
        <f t="shared" si="19"/>
        <v>0</v>
      </c>
    </row>
    <row r="232" spans="1:26" ht="14.1" customHeight="1">
      <c r="A232" s="144">
        <v>238</v>
      </c>
      <c r="B232" s="485" t="s">
        <v>231</v>
      </c>
      <c r="C232" s="485" t="s">
        <v>486</v>
      </c>
      <c r="D232" s="132" t="s">
        <v>98</v>
      </c>
      <c r="E232" s="708" t="s">
        <v>317</v>
      </c>
      <c r="F232" s="536" t="s">
        <v>287</v>
      </c>
      <c r="G232" s="460" t="s">
        <v>881</v>
      </c>
      <c r="H232" s="537" t="s">
        <v>378</v>
      </c>
      <c r="I232" s="582" t="str">
        <f>VLOOKUP(H232,'9a-Typen vloeren'!$A$10:$B$40,2,FALSE)</f>
        <v>n.v.t.</v>
      </c>
      <c r="J232" s="589">
        <v>8</v>
      </c>
      <c r="K232" s="433">
        <f t="shared" si="15"/>
        <v>0</v>
      </c>
      <c r="L232" s="433">
        <f t="shared" si="16"/>
        <v>0</v>
      </c>
      <c r="M232" s="433">
        <f t="shared" si="17"/>
        <v>0</v>
      </c>
      <c r="N232" s="672"/>
      <c r="O232" s="729">
        <f>IF(N232="",0,N232*K232/'9b-Vloeronderhoud'!$F$4)</f>
        <v>0</v>
      </c>
      <c r="P232" s="672"/>
      <c r="Q232" s="729" t="e">
        <f>IF(O232="",0,P232*L232/'9b-Vloeronderhoud'!$F$6)</f>
        <v>#DIV/0!</v>
      </c>
      <c r="R232" s="449">
        <v>1</v>
      </c>
      <c r="S232" s="672" t="s">
        <v>179</v>
      </c>
      <c r="T232" s="161">
        <f t="shared" si="18"/>
        <v>0</v>
      </c>
      <c r="U232" s="162">
        <f>IF(S232="nio",0,IF(S232&gt;0,VLOOKUP(G232,'3-Productie normen'!A:K,VLOOKUP(S232,'3-Productie normen'!L:N,3,FALSE),FALSE)))</f>
        <v>0</v>
      </c>
      <c r="V232" s="162">
        <f>VLOOKUP(G232,'3-Productie normen'!A:K,10,FALSE)</f>
        <v>5262.809993648526</v>
      </c>
      <c r="W232" s="163">
        <f>VLOOKUP(G232,'3-Productie normen'!A:K,11,FALSE)</f>
        <v>0</v>
      </c>
      <c r="X232" s="163" t="s">
        <v>880</v>
      </c>
      <c r="Z232" s="129">
        <f t="shared" si="19"/>
        <v>0</v>
      </c>
    </row>
    <row r="233" spans="1:26" ht="14.1" customHeight="1">
      <c r="A233" s="144">
        <v>239</v>
      </c>
      <c r="B233" s="485" t="s">
        <v>231</v>
      </c>
      <c r="C233" s="485" t="s">
        <v>486</v>
      </c>
      <c r="D233" s="527" t="s">
        <v>98</v>
      </c>
      <c r="E233" s="708" t="s">
        <v>318</v>
      </c>
      <c r="F233" s="537" t="s">
        <v>221</v>
      </c>
      <c r="G233" s="460" t="s">
        <v>881</v>
      </c>
      <c r="H233" s="537" t="s">
        <v>100</v>
      </c>
      <c r="I233" s="582" t="str">
        <f>VLOOKUP(H233,'9a-Typen vloeren'!$A$10:$B$40,2,FALSE)</f>
        <v>Sprayen/ conserveren</v>
      </c>
      <c r="J233" s="589">
        <v>69</v>
      </c>
      <c r="K233" s="433">
        <f t="shared" si="15"/>
        <v>0</v>
      </c>
      <c r="L233" s="433">
        <f t="shared" si="16"/>
        <v>0</v>
      </c>
      <c r="M233" s="433">
        <f t="shared" si="17"/>
        <v>0</v>
      </c>
      <c r="N233" s="672"/>
      <c r="O233" s="729">
        <f>IF(N233="",0,N233*K233/'9b-Vloeronderhoud'!$F$4)</f>
        <v>0</v>
      </c>
      <c r="P233" s="672"/>
      <c r="Q233" s="729" t="e">
        <f>IF(O233="",0,P233*L233/'9b-Vloeronderhoud'!$F$6)</f>
        <v>#DIV/0!</v>
      </c>
      <c r="R233" s="449">
        <v>1</v>
      </c>
      <c r="S233" s="672" t="s">
        <v>179</v>
      </c>
      <c r="T233" s="161">
        <f t="shared" si="18"/>
        <v>0</v>
      </c>
      <c r="U233" s="162">
        <f>IF(S233="nio",0,IF(S233&gt;0,VLOOKUP(G233,'3-Productie normen'!A:K,VLOOKUP(S233,'3-Productie normen'!L:N,3,FALSE),FALSE)))</f>
        <v>0</v>
      </c>
      <c r="V233" s="162">
        <f>VLOOKUP(G233,'3-Productie normen'!A:K,10,FALSE)</f>
        <v>5262.809993648526</v>
      </c>
      <c r="W233" s="163">
        <f>VLOOKUP(G233,'3-Productie normen'!A:K,11,FALSE)</f>
        <v>0</v>
      </c>
      <c r="X233" s="163" t="s">
        <v>880</v>
      </c>
      <c r="Z233" s="129">
        <f t="shared" si="19"/>
        <v>0</v>
      </c>
    </row>
    <row r="234" spans="1:26" ht="14.1" customHeight="1">
      <c r="A234" s="144">
        <v>240</v>
      </c>
      <c r="B234" s="485" t="s">
        <v>231</v>
      </c>
      <c r="C234" s="485" t="s">
        <v>486</v>
      </c>
      <c r="D234" s="527" t="s">
        <v>98</v>
      </c>
      <c r="E234" s="708" t="s">
        <v>319</v>
      </c>
      <c r="F234" s="537" t="s">
        <v>302</v>
      </c>
      <c r="G234" s="460" t="s">
        <v>881</v>
      </c>
      <c r="H234" s="537" t="s">
        <v>335</v>
      </c>
      <c r="I234" s="582" t="str">
        <f>VLOOKUP(H234,'9a-Typen vloeren'!$A$10:$B$40,2,FALSE)</f>
        <v>Schrobben</v>
      </c>
      <c r="J234" s="589">
        <v>5</v>
      </c>
      <c r="K234" s="433">
        <f t="shared" si="15"/>
        <v>0</v>
      </c>
      <c r="L234" s="433">
        <f t="shared" si="16"/>
        <v>0</v>
      </c>
      <c r="M234" s="433">
        <f t="shared" si="17"/>
        <v>0</v>
      </c>
      <c r="N234" s="672"/>
      <c r="O234" s="729">
        <f>IF(N234="",0,N234*K234/'9b-Vloeronderhoud'!$F$4)</f>
        <v>0</v>
      </c>
      <c r="P234" s="672"/>
      <c r="Q234" s="729" t="e">
        <f>IF(O234="",0,P234*L234/'9b-Vloeronderhoud'!$F$6)</f>
        <v>#DIV/0!</v>
      </c>
      <c r="R234" s="449">
        <v>1</v>
      </c>
      <c r="S234" s="672" t="s">
        <v>179</v>
      </c>
      <c r="T234" s="161">
        <f t="shared" si="18"/>
        <v>0</v>
      </c>
      <c r="U234" s="162">
        <f>IF(S234="nio",0,IF(S234&gt;0,VLOOKUP(G234,'3-Productie normen'!A:K,VLOOKUP(S234,'3-Productie normen'!L:N,3,FALSE),FALSE)))</f>
        <v>0</v>
      </c>
      <c r="V234" s="162">
        <f>VLOOKUP(G234,'3-Productie normen'!A:K,10,FALSE)</f>
        <v>5262.809993648526</v>
      </c>
      <c r="W234" s="163">
        <f>VLOOKUP(G234,'3-Productie normen'!A:K,11,FALSE)</f>
        <v>0</v>
      </c>
      <c r="X234" s="163" t="s">
        <v>880</v>
      </c>
      <c r="Z234" s="129">
        <f t="shared" si="19"/>
        <v>0</v>
      </c>
    </row>
    <row r="235" spans="1:26" ht="14.1" customHeight="1">
      <c r="A235" s="144">
        <v>241</v>
      </c>
      <c r="B235" s="485" t="s">
        <v>231</v>
      </c>
      <c r="C235" s="485" t="s">
        <v>486</v>
      </c>
      <c r="D235" s="527" t="s">
        <v>98</v>
      </c>
      <c r="E235" s="708" t="s">
        <v>320</v>
      </c>
      <c r="F235" s="537" t="s">
        <v>285</v>
      </c>
      <c r="G235" s="460" t="s">
        <v>881</v>
      </c>
      <c r="H235" s="537" t="s">
        <v>100</v>
      </c>
      <c r="I235" s="582" t="str">
        <f>VLOOKUP(H235,'9a-Typen vloeren'!$A$10:$B$40,2,FALSE)</f>
        <v>Sprayen/ conserveren</v>
      </c>
      <c r="J235" s="589">
        <v>66</v>
      </c>
      <c r="K235" s="433">
        <f t="shared" si="15"/>
        <v>0</v>
      </c>
      <c r="L235" s="433">
        <f t="shared" si="16"/>
        <v>0</v>
      </c>
      <c r="M235" s="433">
        <f t="shared" si="17"/>
        <v>0</v>
      </c>
      <c r="N235" s="672"/>
      <c r="O235" s="729">
        <f>IF(N235="",0,N235*K235/'9b-Vloeronderhoud'!$F$4)</f>
        <v>0</v>
      </c>
      <c r="P235" s="672"/>
      <c r="Q235" s="729" t="e">
        <f>IF(O235="",0,P235*L235/'9b-Vloeronderhoud'!$F$6)</f>
        <v>#DIV/0!</v>
      </c>
      <c r="R235" s="449">
        <v>1</v>
      </c>
      <c r="S235" s="672" t="s">
        <v>179</v>
      </c>
      <c r="T235" s="161">
        <f t="shared" si="18"/>
        <v>0</v>
      </c>
      <c r="U235" s="162">
        <f>IF(S235="nio",0,IF(S235&gt;0,VLOOKUP(G235,'3-Productie normen'!A:K,VLOOKUP(S235,'3-Productie normen'!L:N,3,FALSE),FALSE)))</f>
        <v>0</v>
      </c>
      <c r="V235" s="162">
        <f>VLOOKUP(G235,'3-Productie normen'!A:K,10,FALSE)</f>
        <v>5262.809993648526</v>
      </c>
      <c r="W235" s="163">
        <f>VLOOKUP(G235,'3-Productie normen'!A:K,11,FALSE)</f>
        <v>0</v>
      </c>
      <c r="X235" s="163" t="s">
        <v>880</v>
      </c>
      <c r="Z235" s="129">
        <f t="shared" si="19"/>
        <v>0</v>
      </c>
    </row>
    <row r="236" spans="1:26" ht="14.1" customHeight="1">
      <c r="A236" s="144">
        <v>242</v>
      </c>
      <c r="B236" s="485" t="s">
        <v>231</v>
      </c>
      <c r="C236" s="485" t="s">
        <v>486</v>
      </c>
      <c r="D236" s="527" t="s">
        <v>98</v>
      </c>
      <c r="E236" s="708" t="s">
        <v>321</v>
      </c>
      <c r="F236" s="537" t="s">
        <v>221</v>
      </c>
      <c r="G236" s="546" t="s">
        <v>221</v>
      </c>
      <c r="H236" s="537" t="s">
        <v>100</v>
      </c>
      <c r="I236" s="582" t="str">
        <f>VLOOKUP(H236,'9a-Typen vloeren'!$A$10:$B$40,2,FALSE)</f>
        <v>Sprayen/ conserveren</v>
      </c>
      <c r="J236" s="589">
        <v>68</v>
      </c>
      <c r="K236" s="433">
        <f t="shared" si="15"/>
        <v>68</v>
      </c>
      <c r="L236" s="433">
        <f t="shared" si="16"/>
        <v>0</v>
      </c>
      <c r="M236" s="433">
        <f t="shared" si="17"/>
        <v>0</v>
      </c>
      <c r="N236" s="672"/>
      <c r="O236" s="729">
        <f>IF(N236="",0,N236*K236/'9b-Vloeronderhoud'!$F$4)</f>
        <v>0</v>
      </c>
      <c r="P236" s="672"/>
      <c r="Q236" s="729" t="e">
        <f>IF(O236="",0,P236*L236/'9b-Vloeronderhoud'!$F$6)</f>
        <v>#DIV/0!</v>
      </c>
      <c r="R236" s="449">
        <v>1</v>
      </c>
      <c r="S236" s="672">
        <v>80</v>
      </c>
      <c r="T236" s="161" t="e">
        <f t="shared" si="18"/>
        <v>#DIV/0!</v>
      </c>
      <c r="U236" s="162">
        <f>IF(S236="nio",0,IF(S236&gt;0,VLOOKUP(G236,'3-Productie normen'!A:K,VLOOKUP(S236,'3-Productie normen'!L:N,3,FALSE),FALSE)))</f>
        <v>0</v>
      </c>
      <c r="V236" s="162">
        <f>VLOOKUP(G236,'3-Productie normen'!A:K,10,FALSE)</f>
        <v>16013.110036668773</v>
      </c>
      <c r="W236" s="163">
        <f>VLOOKUP(G236,'3-Productie normen'!A:K,11,FALSE)</f>
        <v>0</v>
      </c>
      <c r="X236" s="163"/>
      <c r="Z236" s="129">
        <f t="shared" si="19"/>
        <v>5440</v>
      </c>
    </row>
    <row r="237" spans="1:26" ht="14.1" customHeight="1">
      <c r="A237" s="144">
        <v>243</v>
      </c>
      <c r="B237" s="485" t="s">
        <v>231</v>
      </c>
      <c r="C237" s="485" t="s">
        <v>486</v>
      </c>
      <c r="D237" s="527" t="s">
        <v>98</v>
      </c>
      <c r="E237" s="708" t="s">
        <v>323</v>
      </c>
      <c r="F237" s="537" t="s">
        <v>221</v>
      </c>
      <c r="G237" s="122" t="s">
        <v>221</v>
      </c>
      <c r="H237" s="537" t="s">
        <v>100</v>
      </c>
      <c r="I237" s="582" t="str">
        <f>VLOOKUP(H237,'9a-Typen vloeren'!$A$10:$B$40,2,FALSE)</f>
        <v>Sprayen/ conserveren</v>
      </c>
      <c r="J237" s="589">
        <v>66</v>
      </c>
      <c r="K237" s="433">
        <f t="shared" si="15"/>
        <v>66</v>
      </c>
      <c r="L237" s="433">
        <f t="shared" si="16"/>
        <v>0</v>
      </c>
      <c r="M237" s="433">
        <f t="shared" si="17"/>
        <v>0</v>
      </c>
      <c r="N237" s="672"/>
      <c r="O237" s="729">
        <f>IF(N237="",0,N237*K237/'9b-Vloeronderhoud'!$F$4)</f>
        <v>0</v>
      </c>
      <c r="P237" s="672"/>
      <c r="Q237" s="729" t="e">
        <f>IF(O237="",0,P237*L237/'9b-Vloeronderhoud'!$F$6)</f>
        <v>#DIV/0!</v>
      </c>
      <c r="R237" s="449">
        <v>1</v>
      </c>
      <c r="S237" s="672">
        <v>80</v>
      </c>
      <c r="T237" s="161" t="e">
        <f t="shared" si="18"/>
        <v>#DIV/0!</v>
      </c>
      <c r="U237" s="162">
        <f>IF(S237="nio",0,IF(S237&gt;0,VLOOKUP(G237,'3-Productie normen'!A:K,VLOOKUP(S237,'3-Productie normen'!L:N,3,FALSE),FALSE)))</f>
        <v>0</v>
      </c>
      <c r="V237" s="162">
        <f>VLOOKUP(G237,'3-Productie normen'!A:K,10,FALSE)</f>
        <v>16013.110036668773</v>
      </c>
      <c r="W237" s="163">
        <f>VLOOKUP(G237,'3-Productie normen'!A:K,11,FALSE)</f>
        <v>0</v>
      </c>
      <c r="X237" s="163"/>
      <c r="Z237" s="129">
        <f t="shared" si="19"/>
        <v>5280</v>
      </c>
    </row>
    <row r="238" spans="1:26" ht="14.1" customHeight="1">
      <c r="A238" s="144">
        <v>244</v>
      </c>
      <c r="B238" s="485" t="s">
        <v>231</v>
      </c>
      <c r="C238" s="485" t="s">
        <v>486</v>
      </c>
      <c r="D238" s="527" t="s">
        <v>98</v>
      </c>
      <c r="E238" s="708" t="s">
        <v>325</v>
      </c>
      <c r="F238" s="539" t="s">
        <v>302</v>
      </c>
      <c r="G238" s="303" t="s">
        <v>18</v>
      </c>
      <c r="H238" s="303" t="s">
        <v>967</v>
      </c>
      <c r="I238" s="582" t="str">
        <f>VLOOKUP(H238,'9a-Typen vloeren'!$A$10:$B$40,2,FALSE)</f>
        <v>zie kwaliteitsontwerp</v>
      </c>
      <c r="J238" s="589">
        <v>5</v>
      </c>
      <c r="K238" s="433">
        <f t="shared" si="15"/>
        <v>0</v>
      </c>
      <c r="L238" s="433">
        <f t="shared" si="16"/>
        <v>0</v>
      </c>
      <c r="M238" s="433">
        <f t="shared" si="17"/>
        <v>0</v>
      </c>
      <c r="N238" s="672"/>
      <c r="O238" s="729">
        <f>IF(N238="",0,N238*K238/'9b-Vloeronderhoud'!$F$4)</f>
        <v>0</v>
      </c>
      <c r="P238" s="672"/>
      <c r="Q238" s="729" t="e">
        <f>IF(O238="",0,P238*L238/'9b-Vloeronderhoud'!$F$6)</f>
        <v>#DIV/0!</v>
      </c>
      <c r="R238" s="449">
        <v>1</v>
      </c>
      <c r="S238" s="672">
        <v>190</v>
      </c>
      <c r="T238" s="161" t="e">
        <f t="shared" si="18"/>
        <v>#DIV/0!</v>
      </c>
      <c r="U238" s="162">
        <f>IF(S238="nio",0,IF(S238&gt;0,VLOOKUP(G238,'3-Productie normen'!A:K,VLOOKUP(S238,'3-Productie normen'!L:N,3,FALSE),FALSE)))</f>
        <v>0</v>
      </c>
      <c r="V238" s="162">
        <f>VLOOKUP(G238,'3-Productie normen'!A:K,10,FALSE)</f>
        <v>1859.5880019121171</v>
      </c>
      <c r="W238" s="163">
        <f>VLOOKUP(G238,'3-Productie normen'!A:K,11,FALSE)</f>
        <v>0</v>
      </c>
      <c r="X238" s="163"/>
      <c r="Z238" s="129">
        <f t="shared" si="19"/>
        <v>950</v>
      </c>
    </row>
    <row r="239" spans="1:26" ht="14.1" customHeight="1">
      <c r="A239" s="144">
        <v>245</v>
      </c>
      <c r="B239" s="485" t="s">
        <v>231</v>
      </c>
      <c r="C239" s="485" t="s">
        <v>486</v>
      </c>
      <c r="D239" s="527" t="s">
        <v>98</v>
      </c>
      <c r="E239" s="708" t="s">
        <v>326</v>
      </c>
      <c r="F239" s="537" t="s">
        <v>221</v>
      </c>
      <c r="G239" s="460" t="s">
        <v>221</v>
      </c>
      <c r="H239" s="537" t="s">
        <v>100</v>
      </c>
      <c r="I239" s="582" t="str">
        <f>VLOOKUP(H239,'9a-Typen vloeren'!$A$10:$B$40,2,FALSE)</f>
        <v>Sprayen/ conserveren</v>
      </c>
      <c r="J239" s="589">
        <v>66</v>
      </c>
      <c r="K239" s="433">
        <f t="shared" si="15"/>
        <v>66</v>
      </c>
      <c r="L239" s="433">
        <f t="shared" si="16"/>
        <v>0</v>
      </c>
      <c r="M239" s="433">
        <f t="shared" si="17"/>
        <v>0</v>
      </c>
      <c r="N239" s="672"/>
      <c r="O239" s="729">
        <f>IF(N239="",0,N239*K239/'9b-Vloeronderhoud'!$F$4)</f>
        <v>0</v>
      </c>
      <c r="P239" s="672"/>
      <c r="Q239" s="729" t="e">
        <f>IF(O239="",0,P239*L239/'9b-Vloeronderhoud'!$F$6)</f>
        <v>#DIV/0!</v>
      </c>
      <c r="R239" s="449">
        <v>1</v>
      </c>
      <c r="S239" s="672">
        <v>80</v>
      </c>
      <c r="T239" s="161" t="e">
        <f t="shared" si="18"/>
        <v>#DIV/0!</v>
      </c>
      <c r="U239" s="162">
        <f>IF(S239="nio",0,IF(S239&gt;0,VLOOKUP(G239,'3-Productie normen'!A:K,VLOOKUP(S239,'3-Productie normen'!L:N,3,FALSE),FALSE)))</f>
        <v>0</v>
      </c>
      <c r="V239" s="162">
        <f>VLOOKUP(G239,'3-Productie normen'!A:K,10,FALSE)</f>
        <v>16013.110036668773</v>
      </c>
      <c r="W239" s="163">
        <f>VLOOKUP(G239,'3-Productie normen'!A:K,11,FALSE)</f>
        <v>0</v>
      </c>
      <c r="X239" s="163"/>
      <c r="Z239" s="129">
        <f t="shared" si="19"/>
        <v>5280</v>
      </c>
    </row>
    <row r="240" spans="1:26" ht="14.1" customHeight="1">
      <c r="A240" s="144">
        <v>246</v>
      </c>
      <c r="B240" s="485" t="s">
        <v>231</v>
      </c>
      <c r="C240" s="485" t="s">
        <v>486</v>
      </c>
      <c r="D240" s="527" t="s">
        <v>98</v>
      </c>
      <c r="E240" s="708" t="s">
        <v>328</v>
      </c>
      <c r="F240" s="537" t="s">
        <v>287</v>
      </c>
      <c r="G240" s="460" t="s">
        <v>287</v>
      </c>
      <c r="H240" s="537" t="s">
        <v>378</v>
      </c>
      <c r="I240" s="582" t="str">
        <f>VLOOKUP(H240,'9a-Typen vloeren'!$A$10:$B$40,2,FALSE)</f>
        <v>n.v.t.</v>
      </c>
      <c r="J240" s="589">
        <v>11</v>
      </c>
      <c r="K240" s="433">
        <f t="shared" si="15"/>
        <v>0</v>
      </c>
      <c r="L240" s="433">
        <f t="shared" si="16"/>
        <v>0</v>
      </c>
      <c r="M240" s="433">
        <f t="shared" si="17"/>
        <v>0</v>
      </c>
      <c r="N240" s="672"/>
      <c r="O240" s="729">
        <f>IF(N240="",0,N240*K240/'9b-Vloeronderhoud'!$F$4)</f>
        <v>0</v>
      </c>
      <c r="P240" s="672"/>
      <c r="Q240" s="729" t="e">
        <f>IF(O240="",0,P240*L240/'9b-Vloeronderhoud'!$F$6)</f>
        <v>#DIV/0!</v>
      </c>
      <c r="R240" s="449">
        <v>1</v>
      </c>
      <c r="S240" s="672">
        <v>80</v>
      </c>
      <c r="T240" s="161" t="e">
        <f t="shared" si="18"/>
        <v>#DIV/0!</v>
      </c>
      <c r="U240" s="162">
        <f>IF(S240="nio",0,IF(S240&gt;0,VLOOKUP(G240,'3-Productie normen'!A:K,VLOOKUP(S240,'3-Productie normen'!L:N,3,FALSE),FALSE)))</f>
        <v>0</v>
      </c>
      <c r="V240" s="162">
        <f>VLOOKUP(G240,'3-Productie normen'!A:K,10,FALSE)</f>
        <v>519.460002565384</v>
      </c>
      <c r="W240" s="163">
        <f>VLOOKUP(G240,'3-Productie normen'!A:K,11,FALSE)</f>
        <v>0</v>
      </c>
      <c r="X240" s="163"/>
      <c r="Z240" s="129">
        <f t="shared" si="19"/>
        <v>880</v>
      </c>
    </row>
    <row r="241" spans="1:26" ht="14.1" customHeight="1">
      <c r="A241" s="144">
        <v>247</v>
      </c>
      <c r="B241" s="485" t="s">
        <v>231</v>
      </c>
      <c r="C241" s="485" t="s">
        <v>486</v>
      </c>
      <c r="D241" s="527" t="s">
        <v>98</v>
      </c>
      <c r="E241" s="708" t="s">
        <v>329</v>
      </c>
      <c r="F241" s="536" t="s">
        <v>341</v>
      </c>
      <c r="G241" s="159" t="s">
        <v>190</v>
      </c>
      <c r="H241" s="537" t="s">
        <v>100</v>
      </c>
      <c r="I241" s="582" t="str">
        <f>VLOOKUP(H241,'9a-Typen vloeren'!$A$10:$B$40,2,FALSE)</f>
        <v>Sprayen/ conserveren</v>
      </c>
      <c r="J241" s="589">
        <v>14</v>
      </c>
      <c r="K241" s="433">
        <f t="shared" si="15"/>
        <v>14</v>
      </c>
      <c r="L241" s="433">
        <f t="shared" si="16"/>
        <v>0</v>
      </c>
      <c r="M241" s="433">
        <f t="shared" si="17"/>
        <v>0</v>
      </c>
      <c r="N241" s="672">
        <v>2</v>
      </c>
      <c r="O241" s="729" t="e">
        <f>IF(N241="",0,N241*K241/'9b-Vloeronderhoud'!$F$4)</f>
        <v>#DIV/0!</v>
      </c>
      <c r="P241" s="672"/>
      <c r="Q241" s="729" t="e">
        <f>IF(O241="",0,P241*L241/'9b-Vloeronderhoud'!$F$6)</f>
        <v>#DIV/0!</v>
      </c>
      <c r="R241" s="449">
        <v>1</v>
      </c>
      <c r="S241" s="672">
        <v>40</v>
      </c>
      <c r="T241" s="161" t="e">
        <f t="shared" si="18"/>
        <v>#DIV/0!</v>
      </c>
      <c r="U241" s="162">
        <f>IF(S241="nio",0,IF(S241&gt;0,VLOOKUP(G241,'3-Productie normen'!A:K,VLOOKUP(S241,'3-Productie normen'!L:N,3,FALSE),FALSE)))</f>
        <v>0</v>
      </c>
      <c r="V241" s="162">
        <f>VLOOKUP(G241,'3-Productie normen'!A:K,10,FALSE)</f>
        <v>281.65000052452086</v>
      </c>
      <c r="W241" s="163">
        <f>VLOOKUP(G241,'3-Productie normen'!A:K,11,FALSE)</f>
        <v>0</v>
      </c>
      <c r="X241" s="163"/>
      <c r="Z241" s="129">
        <f t="shared" si="19"/>
        <v>560</v>
      </c>
    </row>
    <row r="242" spans="1:26" ht="14.1" customHeight="1">
      <c r="A242" s="144">
        <v>248</v>
      </c>
      <c r="B242" s="485" t="s">
        <v>231</v>
      </c>
      <c r="C242" s="485" t="s">
        <v>486</v>
      </c>
      <c r="D242" s="527" t="s">
        <v>98</v>
      </c>
      <c r="E242" s="708" t="s">
        <v>330</v>
      </c>
      <c r="F242" s="536" t="s">
        <v>379</v>
      </c>
      <c r="G242" s="460" t="s">
        <v>881</v>
      </c>
      <c r="H242" s="537" t="s">
        <v>100</v>
      </c>
      <c r="I242" s="582" t="str">
        <f>VLOOKUP(H242,'9a-Typen vloeren'!$A$10:$B$40,2,FALSE)</f>
        <v>Sprayen/ conserveren</v>
      </c>
      <c r="J242" s="589">
        <v>7</v>
      </c>
      <c r="K242" s="433">
        <f t="shared" si="15"/>
        <v>0</v>
      </c>
      <c r="L242" s="433">
        <f t="shared" si="16"/>
        <v>0</v>
      </c>
      <c r="M242" s="433">
        <f t="shared" si="17"/>
        <v>0</v>
      </c>
      <c r="N242" s="672"/>
      <c r="O242" s="729">
        <f>IF(N242="",0,N242*K242/'9b-Vloeronderhoud'!$F$4)</f>
        <v>0</v>
      </c>
      <c r="P242" s="672"/>
      <c r="Q242" s="729" t="e">
        <f>IF(O242="",0,P242*L242/'9b-Vloeronderhoud'!$F$6)</f>
        <v>#DIV/0!</v>
      </c>
      <c r="R242" s="449">
        <v>1</v>
      </c>
      <c r="S242" s="672" t="s">
        <v>179</v>
      </c>
      <c r="T242" s="161">
        <f t="shared" si="18"/>
        <v>0</v>
      </c>
      <c r="U242" s="162">
        <f>IF(S242="nio",0,IF(S242&gt;0,VLOOKUP(G242,'3-Productie normen'!A:K,VLOOKUP(S242,'3-Productie normen'!L:N,3,FALSE),FALSE)))</f>
        <v>0</v>
      </c>
      <c r="V242" s="162">
        <f>VLOOKUP(G242,'3-Productie normen'!A:K,10,FALSE)</f>
        <v>5262.809993648526</v>
      </c>
      <c r="W242" s="163">
        <f>VLOOKUP(G242,'3-Productie normen'!A:K,11,FALSE)</f>
        <v>0</v>
      </c>
      <c r="X242" s="163"/>
      <c r="Z242" s="129">
        <f t="shared" si="19"/>
        <v>0</v>
      </c>
    </row>
    <row r="243" spans="1:26" ht="14.1" customHeight="1">
      <c r="A243" s="144">
        <v>249</v>
      </c>
      <c r="B243" s="485" t="s">
        <v>231</v>
      </c>
      <c r="C243" s="485" t="s">
        <v>486</v>
      </c>
      <c r="D243" s="527" t="s">
        <v>98</v>
      </c>
      <c r="E243" s="708" t="s">
        <v>331</v>
      </c>
      <c r="F243" s="536" t="s">
        <v>297</v>
      </c>
      <c r="G243" s="303" t="s">
        <v>189</v>
      </c>
      <c r="H243" s="537" t="s">
        <v>398</v>
      </c>
      <c r="I243" s="582" t="str">
        <f>VLOOKUP(H243,'9a-Typen vloeren'!$A$10:$B$40,2,FALSE)</f>
        <v>n.v.t.</v>
      </c>
      <c r="J243" s="589">
        <v>17</v>
      </c>
      <c r="K243" s="433">
        <f t="shared" si="15"/>
        <v>0</v>
      </c>
      <c r="L243" s="433">
        <f t="shared" si="16"/>
        <v>0</v>
      </c>
      <c r="M243" s="433">
        <f t="shared" si="17"/>
        <v>0</v>
      </c>
      <c r="N243" s="672"/>
      <c r="O243" s="729">
        <f>IF(N243="",0,N243*K243/'9b-Vloeronderhoud'!$F$4)</f>
        <v>0</v>
      </c>
      <c r="P243" s="672"/>
      <c r="Q243" s="729" t="e">
        <f>IF(O243="",0,P243*L243/'9b-Vloeronderhoud'!$F$6)</f>
        <v>#DIV/0!</v>
      </c>
      <c r="R243" s="449">
        <v>1</v>
      </c>
      <c r="S243" s="672">
        <v>40</v>
      </c>
      <c r="T243" s="161" t="e">
        <f t="shared" si="18"/>
        <v>#DIV/0!</v>
      </c>
      <c r="U243" s="162">
        <f>IF(S243="nio",0,IF(S243&gt;0,VLOOKUP(G243,'3-Productie normen'!A:K,VLOOKUP(S243,'3-Productie normen'!L:N,3,FALSE),FALSE)))</f>
        <v>0</v>
      </c>
      <c r="V243" s="162">
        <f>VLOOKUP(G243,'3-Productie normen'!A:K,10,FALSE)</f>
        <v>1494.1700078582762</v>
      </c>
      <c r="W243" s="163">
        <f>VLOOKUP(G243,'3-Productie normen'!A:K,11,FALSE)</f>
        <v>0</v>
      </c>
      <c r="X243" s="163"/>
      <c r="Z243" s="129">
        <f t="shared" si="19"/>
        <v>680</v>
      </c>
    </row>
    <row r="244" spans="1:26" ht="14.1" customHeight="1">
      <c r="A244" s="144">
        <v>250</v>
      </c>
      <c r="B244" s="485" t="s">
        <v>231</v>
      </c>
      <c r="C244" s="485" t="s">
        <v>486</v>
      </c>
      <c r="D244" s="527" t="s">
        <v>374</v>
      </c>
      <c r="E244" s="709" t="s">
        <v>351</v>
      </c>
      <c r="F244" s="542" t="s">
        <v>857</v>
      </c>
      <c r="G244" s="122" t="s">
        <v>862</v>
      </c>
      <c r="H244" s="537" t="s">
        <v>100</v>
      </c>
      <c r="I244" s="582" t="str">
        <f>VLOOKUP(H244,'9a-Typen vloeren'!$A$10:$B$40,2,FALSE)</f>
        <v>Sprayen/ conserveren</v>
      </c>
      <c r="J244" s="589">
        <v>120</v>
      </c>
      <c r="K244" s="433">
        <f t="shared" si="15"/>
        <v>120</v>
      </c>
      <c r="L244" s="433">
        <f t="shared" si="16"/>
        <v>0</v>
      </c>
      <c r="M244" s="433">
        <f t="shared" si="17"/>
        <v>0</v>
      </c>
      <c r="N244" s="672">
        <v>2</v>
      </c>
      <c r="O244" s="729" t="e">
        <f>IF(N244="",0,N244*K244/'9b-Vloeronderhoud'!$F$4)</f>
        <v>#DIV/0!</v>
      </c>
      <c r="P244" s="672"/>
      <c r="Q244" s="729" t="e">
        <f>IF(O244="",0,P244*L244/'9b-Vloeronderhoud'!$F$6)</f>
        <v>#DIV/0!</v>
      </c>
      <c r="R244" s="449">
        <v>1</v>
      </c>
      <c r="S244" s="672">
        <v>120</v>
      </c>
      <c r="T244" s="161" t="e">
        <f t="shared" si="18"/>
        <v>#DIV/0!</v>
      </c>
      <c r="U244" s="162">
        <f>IF(S244="nio",0,IF(S244&gt;0,VLOOKUP(G244,'3-Productie normen'!A:K,VLOOKUP(S244,'3-Productie normen'!L:N,3,FALSE),FALSE)))</f>
        <v>0</v>
      </c>
      <c r="V244" s="162">
        <f>VLOOKUP(G244,'3-Productie normen'!A:K,10,FALSE)</f>
        <v>4374.9900215911857</v>
      </c>
      <c r="W244" s="163">
        <f>VLOOKUP(G244,'3-Productie normen'!A:K,11,FALSE)</f>
        <v>0</v>
      </c>
      <c r="X244" s="163"/>
      <c r="Z244" s="129">
        <f t="shared" si="19"/>
        <v>14400</v>
      </c>
    </row>
    <row r="245" spans="1:26" ht="14.1" customHeight="1">
      <c r="A245" s="144">
        <v>251</v>
      </c>
      <c r="B245" s="485" t="s">
        <v>231</v>
      </c>
      <c r="C245" s="485" t="s">
        <v>486</v>
      </c>
      <c r="D245" s="527" t="s">
        <v>374</v>
      </c>
      <c r="E245" s="708" t="s">
        <v>352</v>
      </c>
      <c r="F245" s="537" t="s">
        <v>316</v>
      </c>
      <c r="G245" s="460" t="s">
        <v>881</v>
      </c>
      <c r="H245" s="537" t="s">
        <v>375</v>
      </c>
      <c r="I245" s="582" t="str">
        <f>VLOOKUP(H245,'9a-Typen vloeren'!$A$10:$B$40,2,FALSE)</f>
        <v>n.v.t.</v>
      </c>
      <c r="J245" s="589">
        <v>2.75</v>
      </c>
      <c r="K245" s="433">
        <f t="shared" si="15"/>
        <v>0</v>
      </c>
      <c r="L245" s="433">
        <f t="shared" si="16"/>
        <v>0</v>
      </c>
      <c r="M245" s="433">
        <f t="shared" si="17"/>
        <v>0</v>
      </c>
      <c r="N245" s="672"/>
      <c r="O245" s="729">
        <f>IF(N245="",0,N245*K245/'9b-Vloeronderhoud'!$F$4)</f>
        <v>0</v>
      </c>
      <c r="P245" s="672"/>
      <c r="Q245" s="729" t="e">
        <f>IF(O245="",0,P245*L245/'9b-Vloeronderhoud'!$F$6)</f>
        <v>#DIV/0!</v>
      </c>
      <c r="R245" s="449">
        <v>1</v>
      </c>
      <c r="S245" s="672" t="s">
        <v>179</v>
      </c>
      <c r="T245" s="161">
        <f t="shared" si="18"/>
        <v>0</v>
      </c>
      <c r="U245" s="162">
        <f>IF(S245="nio",0,IF(S245&gt;0,VLOOKUP(G245,'3-Productie normen'!A:K,VLOOKUP(S245,'3-Productie normen'!L:N,3,FALSE),FALSE)))</f>
        <v>0</v>
      </c>
      <c r="V245" s="162">
        <f>VLOOKUP(G245,'3-Productie normen'!A:K,10,FALSE)</f>
        <v>5262.809993648526</v>
      </c>
      <c r="W245" s="163">
        <f>VLOOKUP(G245,'3-Productie normen'!A:K,11,FALSE)</f>
        <v>0</v>
      </c>
      <c r="X245" s="163"/>
      <c r="Z245" s="129">
        <f t="shared" si="19"/>
        <v>0</v>
      </c>
    </row>
    <row r="246" spans="1:26" ht="14.1" customHeight="1">
      <c r="A246" s="144">
        <v>252</v>
      </c>
      <c r="B246" s="485" t="s">
        <v>231</v>
      </c>
      <c r="C246" s="485" t="s">
        <v>486</v>
      </c>
      <c r="D246" s="527" t="s">
        <v>374</v>
      </c>
      <c r="E246" s="708" t="s">
        <v>354</v>
      </c>
      <c r="F246" s="537" t="s">
        <v>490</v>
      </c>
      <c r="G246" s="546" t="s">
        <v>286</v>
      </c>
      <c r="H246" s="537" t="s">
        <v>100</v>
      </c>
      <c r="I246" s="582" t="str">
        <f>VLOOKUP(H246,'9a-Typen vloeren'!$A$10:$B$40,2,FALSE)</f>
        <v>Sprayen/ conserveren</v>
      </c>
      <c r="J246" s="589">
        <v>1.2999999523162842</v>
      </c>
      <c r="K246" s="433">
        <f t="shared" si="15"/>
        <v>1.2999999523162842</v>
      </c>
      <c r="L246" s="433">
        <f t="shared" si="16"/>
        <v>0</v>
      </c>
      <c r="M246" s="433">
        <f t="shared" si="17"/>
        <v>0</v>
      </c>
      <c r="N246" s="672"/>
      <c r="O246" s="729">
        <f>IF(N246="",0,N246*K246/'9b-Vloeronderhoud'!$F$4)</f>
        <v>0</v>
      </c>
      <c r="P246" s="672"/>
      <c r="Q246" s="729" t="e">
        <f>IF(O246="",0,P246*L246/'9b-Vloeronderhoud'!$F$6)</f>
        <v>#DIV/0!</v>
      </c>
      <c r="R246" s="449">
        <v>1</v>
      </c>
      <c r="S246" s="672">
        <v>80</v>
      </c>
      <c r="T246" s="161" t="e">
        <f t="shared" si="18"/>
        <v>#DIV/0!</v>
      </c>
      <c r="U246" s="162">
        <f>IF(S246="nio",0,IF(S246&gt;0,VLOOKUP(G246,'3-Productie normen'!A:K,VLOOKUP(S246,'3-Productie normen'!L:N,3,FALSE),FALSE)))</f>
        <v>0</v>
      </c>
      <c r="V246" s="162">
        <f>VLOOKUP(G246,'3-Productie normen'!A:K,10,FALSE)</f>
        <v>6152.9500017547598</v>
      </c>
      <c r="W246" s="163">
        <f>VLOOKUP(G246,'3-Productie normen'!A:K,11,FALSE)</f>
        <v>0</v>
      </c>
      <c r="X246" s="163"/>
      <c r="Z246" s="129">
        <f t="shared" si="19"/>
        <v>103.99999618530273</v>
      </c>
    </row>
    <row r="247" spans="1:26" ht="14.1" customHeight="1">
      <c r="A247" s="144">
        <v>253</v>
      </c>
      <c r="B247" s="485" t="s">
        <v>231</v>
      </c>
      <c r="C247" s="485" t="s">
        <v>486</v>
      </c>
      <c r="D247" s="527" t="s">
        <v>374</v>
      </c>
      <c r="E247" s="708" t="s">
        <v>355</v>
      </c>
      <c r="F247" s="537" t="s">
        <v>302</v>
      </c>
      <c r="G247" s="460" t="s">
        <v>18</v>
      </c>
      <c r="H247" s="303" t="s">
        <v>967</v>
      </c>
      <c r="I247" s="582" t="str">
        <f>VLOOKUP(H247,'9a-Typen vloeren'!$A$10:$B$40,2,FALSE)</f>
        <v>zie kwaliteitsontwerp</v>
      </c>
      <c r="J247" s="589">
        <v>1.9199999570846558</v>
      </c>
      <c r="K247" s="433">
        <f t="shared" si="15"/>
        <v>0</v>
      </c>
      <c r="L247" s="433">
        <f t="shared" si="16"/>
        <v>0</v>
      </c>
      <c r="M247" s="433">
        <f t="shared" si="17"/>
        <v>0</v>
      </c>
      <c r="N247" s="672"/>
      <c r="O247" s="729">
        <f>IF(N247="",0,N247*K247/'9b-Vloeronderhoud'!$F$4)</f>
        <v>0</v>
      </c>
      <c r="P247" s="672"/>
      <c r="Q247" s="729" t="e">
        <f>IF(O247="",0,P247*L247/'9b-Vloeronderhoud'!$F$6)</f>
        <v>#DIV/0!</v>
      </c>
      <c r="R247" s="449">
        <v>1</v>
      </c>
      <c r="S247" s="672">
        <v>190</v>
      </c>
      <c r="T247" s="161" t="e">
        <f t="shared" si="18"/>
        <v>#DIV/0!</v>
      </c>
      <c r="U247" s="162">
        <f>IF(S247="nio",0,IF(S247&gt;0,VLOOKUP(G247,'3-Productie normen'!A:K,VLOOKUP(S247,'3-Productie normen'!L:N,3,FALSE),FALSE)))</f>
        <v>0</v>
      </c>
      <c r="V247" s="162">
        <f>VLOOKUP(G247,'3-Productie normen'!A:K,10,FALSE)</f>
        <v>1859.5880019121171</v>
      </c>
      <c r="W247" s="163">
        <f>VLOOKUP(G247,'3-Productie normen'!A:K,11,FALSE)</f>
        <v>0</v>
      </c>
      <c r="X247" s="163"/>
      <c r="Z247" s="129">
        <f t="shared" si="19"/>
        <v>364.79999184608459</v>
      </c>
    </row>
    <row r="248" spans="1:26" ht="14.1" customHeight="1">
      <c r="A248" s="144">
        <v>254</v>
      </c>
      <c r="B248" s="485" t="s">
        <v>231</v>
      </c>
      <c r="C248" s="485" t="s">
        <v>486</v>
      </c>
      <c r="D248" s="527" t="s">
        <v>374</v>
      </c>
      <c r="E248" s="708" t="s">
        <v>356</v>
      </c>
      <c r="F248" s="536" t="s">
        <v>381</v>
      </c>
      <c r="G248" s="460" t="s">
        <v>286</v>
      </c>
      <c r="H248" s="537" t="s">
        <v>378</v>
      </c>
      <c r="I248" s="582" t="str">
        <f>VLOOKUP(H248,'9a-Typen vloeren'!$A$10:$B$40,2,FALSE)</f>
        <v>n.v.t.</v>
      </c>
      <c r="J248" s="589">
        <v>70</v>
      </c>
      <c r="K248" s="433">
        <f t="shared" si="15"/>
        <v>0</v>
      </c>
      <c r="L248" s="433">
        <f t="shared" si="16"/>
        <v>0</v>
      </c>
      <c r="M248" s="433">
        <f t="shared" si="17"/>
        <v>0</v>
      </c>
      <c r="N248" s="672"/>
      <c r="O248" s="729">
        <f>IF(N248="",0,N248*K248/'9b-Vloeronderhoud'!$F$4)</f>
        <v>0</v>
      </c>
      <c r="P248" s="672"/>
      <c r="Q248" s="729" t="e">
        <f>IF(O248="",0,P248*L248/'9b-Vloeronderhoud'!$F$6)</f>
        <v>#DIV/0!</v>
      </c>
      <c r="R248" s="449">
        <v>1</v>
      </c>
      <c r="S248" s="672">
        <v>120</v>
      </c>
      <c r="T248" s="161" t="e">
        <f t="shared" si="18"/>
        <v>#DIV/0!</v>
      </c>
      <c r="U248" s="162">
        <f>IF(S248="nio",0,IF(S248&gt;0,VLOOKUP(G248,'3-Productie normen'!A:K,VLOOKUP(S248,'3-Productie normen'!L:N,3,FALSE),FALSE)))</f>
        <v>0</v>
      </c>
      <c r="V248" s="162">
        <f>VLOOKUP(G248,'3-Productie normen'!A:K,10,FALSE)</f>
        <v>6152.9500017547598</v>
      </c>
      <c r="W248" s="163">
        <f>VLOOKUP(G248,'3-Productie normen'!A:K,11,FALSE)</f>
        <v>0</v>
      </c>
      <c r="X248" s="163"/>
      <c r="Z248" s="129">
        <f t="shared" si="19"/>
        <v>8400</v>
      </c>
    </row>
    <row r="249" spans="1:26" ht="14.1" customHeight="1">
      <c r="A249" s="144">
        <v>255</v>
      </c>
      <c r="B249" s="485" t="s">
        <v>231</v>
      </c>
      <c r="C249" s="485" t="s">
        <v>486</v>
      </c>
      <c r="D249" s="527" t="s">
        <v>374</v>
      </c>
      <c r="E249" s="708" t="s">
        <v>357</v>
      </c>
      <c r="F249" s="536" t="s">
        <v>382</v>
      </c>
      <c r="G249" s="460" t="s">
        <v>881</v>
      </c>
      <c r="H249" s="537" t="s">
        <v>398</v>
      </c>
      <c r="I249" s="582" t="str">
        <f>VLOOKUP(H249,'9a-Typen vloeren'!$A$10:$B$40,2,FALSE)</f>
        <v>n.v.t.</v>
      </c>
      <c r="J249" s="589">
        <v>25</v>
      </c>
      <c r="K249" s="433">
        <f t="shared" si="15"/>
        <v>0</v>
      </c>
      <c r="L249" s="433">
        <f t="shared" si="16"/>
        <v>0</v>
      </c>
      <c r="M249" s="433">
        <f t="shared" si="17"/>
        <v>0</v>
      </c>
      <c r="N249" s="672"/>
      <c r="O249" s="729">
        <f>IF(N249="",0,N249*K249/'9b-Vloeronderhoud'!$F$4)</f>
        <v>0</v>
      </c>
      <c r="P249" s="672"/>
      <c r="Q249" s="729" t="e">
        <f>IF(O249="",0,P249*L249/'9b-Vloeronderhoud'!$F$6)</f>
        <v>#DIV/0!</v>
      </c>
      <c r="R249" s="449">
        <v>1</v>
      </c>
      <c r="S249" s="672" t="s">
        <v>179</v>
      </c>
      <c r="T249" s="161">
        <f t="shared" si="18"/>
        <v>0</v>
      </c>
      <c r="U249" s="162">
        <f>IF(S249="nio",0,IF(S249&gt;0,VLOOKUP(G249,'3-Productie normen'!A:K,VLOOKUP(S249,'3-Productie normen'!L:N,3,FALSE),FALSE)))</f>
        <v>0</v>
      </c>
      <c r="V249" s="162">
        <f>VLOOKUP(G249,'3-Productie normen'!A:K,10,FALSE)</f>
        <v>5262.809993648526</v>
      </c>
      <c r="W249" s="163">
        <f>VLOOKUP(G249,'3-Productie normen'!A:K,11,FALSE)</f>
        <v>0</v>
      </c>
      <c r="X249" s="163"/>
      <c r="Z249" s="129">
        <f t="shared" si="19"/>
        <v>0</v>
      </c>
    </row>
    <row r="250" spans="1:26" ht="14.1" customHeight="1">
      <c r="A250" s="144">
        <v>256</v>
      </c>
      <c r="B250" s="485" t="s">
        <v>231</v>
      </c>
      <c r="C250" s="485" t="s">
        <v>486</v>
      </c>
      <c r="D250" s="527" t="s">
        <v>374</v>
      </c>
      <c r="E250" s="708" t="s">
        <v>358</v>
      </c>
      <c r="F250" s="536" t="s">
        <v>316</v>
      </c>
      <c r="G250" s="460" t="s">
        <v>881</v>
      </c>
      <c r="H250" s="537" t="s">
        <v>102</v>
      </c>
      <c r="I250" s="582" t="str">
        <f>VLOOKUP(H250,'9a-Typen vloeren'!$A$10:$B$40,2,FALSE)</f>
        <v>n.v.t.</v>
      </c>
      <c r="J250" s="589">
        <v>10</v>
      </c>
      <c r="K250" s="433">
        <f t="shared" si="15"/>
        <v>0</v>
      </c>
      <c r="L250" s="433">
        <f t="shared" si="16"/>
        <v>0</v>
      </c>
      <c r="M250" s="433">
        <f t="shared" si="17"/>
        <v>0</v>
      </c>
      <c r="N250" s="672"/>
      <c r="O250" s="729">
        <f>IF(N250="",0,N250*K250/'9b-Vloeronderhoud'!$F$4)</f>
        <v>0</v>
      </c>
      <c r="P250" s="672"/>
      <c r="Q250" s="729" t="e">
        <f>IF(O250="",0,P250*L250/'9b-Vloeronderhoud'!$F$6)</f>
        <v>#DIV/0!</v>
      </c>
      <c r="R250" s="449">
        <v>1</v>
      </c>
      <c r="S250" s="672" t="s">
        <v>179</v>
      </c>
      <c r="T250" s="161">
        <f t="shared" si="18"/>
        <v>0</v>
      </c>
      <c r="U250" s="162">
        <f>IF(S250="nio",0,IF(S250&gt;0,VLOOKUP(G250,'3-Productie normen'!A:K,VLOOKUP(S250,'3-Productie normen'!L:N,3,FALSE),FALSE)))</f>
        <v>0</v>
      </c>
      <c r="V250" s="162">
        <f>VLOOKUP(G250,'3-Productie normen'!A:K,10,FALSE)</f>
        <v>5262.809993648526</v>
      </c>
      <c r="W250" s="163">
        <f>VLOOKUP(G250,'3-Productie normen'!A:K,11,FALSE)</f>
        <v>0</v>
      </c>
      <c r="X250" s="163"/>
      <c r="Z250" s="129">
        <f t="shared" si="19"/>
        <v>0</v>
      </c>
    </row>
    <row r="251" spans="1:26" ht="14.1" customHeight="1">
      <c r="A251" s="144">
        <v>257</v>
      </c>
      <c r="B251" s="485" t="s">
        <v>231</v>
      </c>
      <c r="C251" s="485" t="s">
        <v>486</v>
      </c>
      <c r="D251" s="527" t="s">
        <v>374</v>
      </c>
      <c r="E251" s="708" t="s">
        <v>359</v>
      </c>
      <c r="F251" s="537" t="s">
        <v>299</v>
      </c>
      <c r="G251" s="460" t="s">
        <v>299</v>
      </c>
      <c r="H251" s="537" t="s">
        <v>398</v>
      </c>
      <c r="I251" s="582" t="str">
        <f>VLOOKUP(H251,'9a-Typen vloeren'!$A$10:$B$40,2,FALSE)</f>
        <v>n.v.t.</v>
      </c>
      <c r="J251" s="589">
        <v>31</v>
      </c>
      <c r="K251" s="433">
        <f t="shared" si="15"/>
        <v>0</v>
      </c>
      <c r="L251" s="433">
        <f t="shared" si="16"/>
        <v>0</v>
      </c>
      <c r="M251" s="433">
        <f t="shared" si="17"/>
        <v>0</v>
      </c>
      <c r="N251" s="672"/>
      <c r="O251" s="729">
        <f>IF(N251="",0,N251*K251/'9b-Vloeronderhoud'!$F$4)</f>
        <v>0</v>
      </c>
      <c r="P251" s="672"/>
      <c r="Q251" s="729" t="e">
        <f>IF(O251="",0,P251*L251/'9b-Vloeronderhoud'!$F$6)</f>
        <v>#DIV/0!</v>
      </c>
      <c r="R251" s="449">
        <v>1</v>
      </c>
      <c r="S251" s="672">
        <v>40</v>
      </c>
      <c r="T251" s="161" t="e">
        <f t="shared" si="18"/>
        <v>#DIV/0!</v>
      </c>
      <c r="U251" s="162">
        <f>IF(S251="nio",0,IF(S251&gt;0,VLOOKUP(G251,'3-Productie normen'!A:K,VLOOKUP(S251,'3-Productie normen'!L:N,3,FALSE),FALSE)))</f>
        <v>0</v>
      </c>
      <c r="V251" s="162">
        <f>VLOOKUP(G251,'3-Productie normen'!A:K,10,FALSE)</f>
        <v>1107.9100014114381</v>
      </c>
      <c r="W251" s="163">
        <f>VLOOKUP(G251,'3-Productie normen'!A:K,11,FALSE)</f>
        <v>0</v>
      </c>
      <c r="X251" s="163"/>
      <c r="Z251" s="129">
        <f t="shared" si="19"/>
        <v>1240</v>
      </c>
    </row>
    <row r="252" spans="1:26" ht="14.1" customHeight="1">
      <c r="A252" s="144">
        <v>258</v>
      </c>
      <c r="B252" s="485" t="s">
        <v>231</v>
      </c>
      <c r="C252" s="485" t="s">
        <v>486</v>
      </c>
      <c r="D252" s="527" t="s">
        <v>374</v>
      </c>
      <c r="E252" s="708" t="s">
        <v>361</v>
      </c>
      <c r="F252" s="537" t="s">
        <v>379</v>
      </c>
      <c r="G252" s="460" t="s">
        <v>881</v>
      </c>
      <c r="H252" s="537" t="s">
        <v>100</v>
      </c>
      <c r="I252" s="582" t="str">
        <f>VLOOKUP(H252,'9a-Typen vloeren'!$A$10:$B$40,2,FALSE)</f>
        <v>Sprayen/ conserveren</v>
      </c>
      <c r="J252" s="589">
        <v>15</v>
      </c>
      <c r="K252" s="433">
        <f t="shared" si="15"/>
        <v>0</v>
      </c>
      <c r="L252" s="433">
        <f t="shared" si="16"/>
        <v>0</v>
      </c>
      <c r="M252" s="433">
        <f t="shared" si="17"/>
        <v>0</v>
      </c>
      <c r="N252" s="672"/>
      <c r="O252" s="729">
        <f>IF(N252="",0,N252*K252/'9b-Vloeronderhoud'!$F$4)</f>
        <v>0</v>
      </c>
      <c r="P252" s="672"/>
      <c r="Q252" s="729" t="e">
        <f>IF(O252="",0,P252*L252/'9b-Vloeronderhoud'!$F$6)</f>
        <v>#DIV/0!</v>
      </c>
      <c r="R252" s="449">
        <v>1</v>
      </c>
      <c r="S252" s="672" t="s">
        <v>179</v>
      </c>
      <c r="T252" s="161">
        <f t="shared" si="18"/>
        <v>0</v>
      </c>
      <c r="U252" s="162">
        <f>IF(S252="nio",0,IF(S252&gt;0,VLOOKUP(G252,'3-Productie normen'!A:K,VLOOKUP(S252,'3-Productie normen'!L:N,3,FALSE),FALSE)))</f>
        <v>0</v>
      </c>
      <c r="V252" s="162">
        <f>VLOOKUP(G252,'3-Productie normen'!A:K,10,FALSE)</f>
        <v>5262.809993648526</v>
      </c>
      <c r="W252" s="163">
        <f>VLOOKUP(G252,'3-Productie normen'!A:K,11,FALSE)</f>
        <v>0</v>
      </c>
      <c r="X252" s="163"/>
      <c r="Z252" s="129">
        <f t="shared" si="19"/>
        <v>0</v>
      </c>
    </row>
    <row r="253" spans="1:26" ht="14.1" customHeight="1">
      <c r="A253" s="144">
        <v>259</v>
      </c>
      <c r="B253" s="485" t="s">
        <v>231</v>
      </c>
      <c r="C253" s="485" t="s">
        <v>486</v>
      </c>
      <c r="D253" s="527" t="s">
        <v>374</v>
      </c>
      <c r="E253" s="709" t="s">
        <v>363</v>
      </c>
      <c r="F253" s="542" t="s">
        <v>302</v>
      </c>
      <c r="G253" s="546" t="s">
        <v>18</v>
      </c>
      <c r="H253" s="303" t="s">
        <v>967</v>
      </c>
      <c r="I253" s="582" t="str">
        <f>VLOOKUP(H253,'9a-Typen vloeren'!$A$10:$B$40,2,FALSE)</f>
        <v>zie kwaliteitsontwerp</v>
      </c>
      <c r="J253" s="589">
        <v>1.7999999523162842</v>
      </c>
      <c r="K253" s="433">
        <f t="shared" si="15"/>
        <v>0</v>
      </c>
      <c r="L253" s="433">
        <f t="shared" si="16"/>
        <v>0</v>
      </c>
      <c r="M253" s="433">
        <f t="shared" si="17"/>
        <v>0</v>
      </c>
      <c r="N253" s="672"/>
      <c r="O253" s="729">
        <f>IF(N253="",0,N253*K253/'9b-Vloeronderhoud'!$F$4)</f>
        <v>0</v>
      </c>
      <c r="P253" s="672"/>
      <c r="Q253" s="729" t="e">
        <f>IF(O253="",0,P253*L253/'9b-Vloeronderhoud'!$F$6)</f>
        <v>#DIV/0!</v>
      </c>
      <c r="R253" s="449">
        <v>1</v>
      </c>
      <c r="S253" s="672">
        <v>190</v>
      </c>
      <c r="T253" s="161" t="e">
        <f t="shared" si="18"/>
        <v>#DIV/0!</v>
      </c>
      <c r="U253" s="162">
        <f>IF(S253="nio",0,IF(S253&gt;0,VLOOKUP(G253,'3-Productie normen'!A:K,VLOOKUP(S253,'3-Productie normen'!L:N,3,FALSE),FALSE)))</f>
        <v>0</v>
      </c>
      <c r="V253" s="162">
        <f>VLOOKUP(G253,'3-Productie normen'!A:K,10,FALSE)</f>
        <v>1859.5880019121171</v>
      </c>
      <c r="W253" s="163">
        <f>VLOOKUP(G253,'3-Productie normen'!A:K,11,FALSE)</f>
        <v>0</v>
      </c>
      <c r="X253" s="163"/>
      <c r="Z253" s="129">
        <f t="shared" si="19"/>
        <v>341.99999094009399</v>
      </c>
    </row>
    <row r="254" spans="1:26" ht="14.1" customHeight="1">
      <c r="A254" s="144">
        <v>260</v>
      </c>
      <c r="B254" s="485" t="s">
        <v>231</v>
      </c>
      <c r="C254" s="485" t="s">
        <v>486</v>
      </c>
      <c r="D254" s="527" t="s">
        <v>374</v>
      </c>
      <c r="E254" s="709" t="s">
        <v>383</v>
      </c>
      <c r="F254" s="542" t="s">
        <v>302</v>
      </c>
      <c r="G254" s="122" t="s">
        <v>18</v>
      </c>
      <c r="H254" s="303" t="s">
        <v>967</v>
      </c>
      <c r="I254" s="582" t="str">
        <f>VLOOKUP(H254,'9a-Typen vloeren'!$A$10:$B$40,2,FALSE)</f>
        <v>zie kwaliteitsontwerp</v>
      </c>
      <c r="J254" s="589">
        <v>6.440000057220459</v>
      </c>
      <c r="K254" s="433">
        <f t="shared" si="15"/>
        <v>0</v>
      </c>
      <c r="L254" s="433">
        <f t="shared" si="16"/>
        <v>0</v>
      </c>
      <c r="M254" s="433">
        <f t="shared" si="17"/>
        <v>0</v>
      </c>
      <c r="N254" s="672"/>
      <c r="O254" s="729">
        <f>IF(N254="",0,N254*K254/'9b-Vloeronderhoud'!$F$4)</f>
        <v>0</v>
      </c>
      <c r="P254" s="672"/>
      <c r="Q254" s="729" t="e">
        <f>IF(O254="",0,P254*L254/'9b-Vloeronderhoud'!$F$6)</f>
        <v>#DIV/0!</v>
      </c>
      <c r="R254" s="449">
        <v>1</v>
      </c>
      <c r="S254" s="672">
        <v>190</v>
      </c>
      <c r="T254" s="161" t="e">
        <f t="shared" si="18"/>
        <v>#DIV/0!</v>
      </c>
      <c r="U254" s="162">
        <f>IF(S254="nio",0,IF(S254&gt;0,VLOOKUP(G254,'3-Productie normen'!A:K,VLOOKUP(S254,'3-Productie normen'!L:N,3,FALSE),FALSE)))</f>
        <v>0</v>
      </c>
      <c r="V254" s="162">
        <f>VLOOKUP(G254,'3-Productie normen'!A:K,10,FALSE)</f>
        <v>1859.5880019121171</v>
      </c>
      <c r="W254" s="163">
        <f>VLOOKUP(G254,'3-Productie normen'!A:K,11,FALSE)</f>
        <v>0</v>
      </c>
      <c r="X254" s="163"/>
      <c r="Z254" s="129">
        <f t="shared" si="19"/>
        <v>1223.6000108718872</v>
      </c>
    </row>
    <row r="255" spans="1:26" ht="14.1" customHeight="1">
      <c r="A255" s="144">
        <v>261</v>
      </c>
      <c r="B255" s="485" t="s">
        <v>231</v>
      </c>
      <c r="C255" s="485" t="s">
        <v>486</v>
      </c>
      <c r="D255" s="527" t="s">
        <v>374</v>
      </c>
      <c r="E255" s="709" t="s">
        <v>384</v>
      </c>
      <c r="F255" s="542" t="s">
        <v>302</v>
      </c>
      <c r="G255" s="460" t="s">
        <v>18</v>
      </c>
      <c r="H255" s="303" t="s">
        <v>967</v>
      </c>
      <c r="I255" s="582" t="str">
        <f>VLOOKUP(H255,'9a-Typen vloeren'!$A$10:$B$40,2,FALSE)</f>
        <v>zie kwaliteitsontwerp</v>
      </c>
      <c r="J255" s="589">
        <v>7.940000057220459</v>
      </c>
      <c r="K255" s="433">
        <f t="shared" si="15"/>
        <v>0</v>
      </c>
      <c r="L255" s="433">
        <f t="shared" si="16"/>
        <v>0</v>
      </c>
      <c r="M255" s="433">
        <f t="shared" si="17"/>
        <v>0</v>
      </c>
      <c r="N255" s="672"/>
      <c r="O255" s="729">
        <f>IF(N255="",0,N255*K255/'9b-Vloeronderhoud'!$F$4)</f>
        <v>0</v>
      </c>
      <c r="P255" s="672"/>
      <c r="Q255" s="729" t="e">
        <f>IF(O255="",0,P255*L255/'9b-Vloeronderhoud'!$F$6)</f>
        <v>#DIV/0!</v>
      </c>
      <c r="R255" s="449">
        <v>1</v>
      </c>
      <c r="S255" s="672">
        <v>190</v>
      </c>
      <c r="T255" s="161" t="e">
        <f t="shared" si="18"/>
        <v>#DIV/0!</v>
      </c>
      <c r="U255" s="162">
        <f>IF(S255="nio",0,IF(S255&gt;0,VLOOKUP(G255,'3-Productie normen'!A:K,VLOOKUP(S255,'3-Productie normen'!L:N,3,FALSE),FALSE)))</f>
        <v>0</v>
      </c>
      <c r="V255" s="162">
        <f>VLOOKUP(G255,'3-Productie normen'!A:K,10,FALSE)</f>
        <v>1859.5880019121171</v>
      </c>
      <c r="W255" s="163">
        <f>VLOOKUP(G255,'3-Productie normen'!A:K,11,FALSE)</f>
        <v>0</v>
      </c>
      <c r="X255" s="163"/>
      <c r="Z255" s="129">
        <f t="shared" si="19"/>
        <v>1508.6000108718872</v>
      </c>
    </row>
    <row r="256" spans="1:26" ht="14.1" customHeight="1">
      <c r="A256" s="144">
        <v>262</v>
      </c>
      <c r="B256" s="485" t="s">
        <v>231</v>
      </c>
      <c r="C256" s="485" t="s">
        <v>486</v>
      </c>
      <c r="D256" s="527" t="s">
        <v>374</v>
      </c>
      <c r="E256" s="708" t="s">
        <v>367</v>
      </c>
      <c r="F256" s="539" t="s">
        <v>857</v>
      </c>
      <c r="G256" s="303" t="s">
        <v>862</v>
      </c>
      <c r="H256" s="537" t="s">
        <v>100</v>
      </c>
      <c r="I256" s="582" t="str">
        <f>VLOOKUP(H256,'9a-Typen vloeren'!$A$10:$B$40,2,FALSE)</f>
        <v>Sprayen/ conserveren</v>
      </c>
      <c r="J256" s="589">
        <v>58.5</v>
      </c>
      <c r="K256" s="433">
        <f t="shared" si="15"/>
        <v>58.5</v>
      </c>
      <c r="L256" s="433">
        <f t="shared" si="16"/>
        <v>0</v>
      </c>
      <c r="M256" s="433">
        <f t="shared" si="17"/>
        <v>0</v>
      </c>
      <c r="N256" s="672">
        <v>2</v>
      </c>
      <c r="O256" s="729" t="e">
        <f>IF(N256="",0,N256*K256/'9b-Vloeronderhoud'!$F$4)</f>
        <v>#DIV/0!</v>
      </c>
      <c r="P256" s="672"/>
      <c r="Q256" s="729" t="e">
        <f>IF(O256="",0,P256*L256/'9b-Vloeronderhoud'!$F$6)</f>
        <v>#DIV/0!</v>
      </c>
      <c r="R256" s="449">
        <v>1</v>
      </c>
      <c r="S256" s="672">
        <v>120</v>
      </c>
      <c r="T256" s="161" t="e">
        <f t="shared" si="18"/>
        <v>#DIV/0!</v>
      </c>
      <c r="U256" s="162">
        <f>IF(S256="nio",0,IF(S256&gt;0,VLOOKUP(G256,'3-Productie normen'!A:K,VLOOKUP(S256,'3-Productie normen'!L:N,3,FALSE),FALSE)))</f>
        <v>0</v>
      </c>
      <c r="V256" s="162">
        <f>VLOOKUP(G256,'3-Productie normen'!A:K,10,FALSE)</f>
        <v>4374.9900215911857</v>
      </c>
      <c r="W256" s="163">
        <f>VLOOKUP(G256,'3-Productie normen'!A:K,11,FALSE)</f>
        <v>0</v>
      </c>
      <c r="X256" s="163"/>
      <c r="Z256" s="129">
        <f t="shared" si="19"/>
        <v>7020</v>
      </c>
    </row>
    <row r="257" spans="1:26" ht="14.1" customHeight="1">
      <c r="A257" s="144">
        <v>263</v>
      </c>
      <c r="B257" s="485" t="s">
        <v>231</v>
      </c>
      <c r="C257" s="485" t="s">
        <v>486</v>
      </c>
      <c r="D257" s="527" t="s">
        <v>374</v>
      </c>
      <c r="E257" s="708" t="s">
        <v>368</v>
      </c>
      <c r="F257" s="168" t="s">
        <v>302</v>
      </c>
      <c r="G257" s="460" t="s">
        <v>18</v>
      </c>
      <c r="H257" s="303" t="s">
        <v>967</v>
      </c>
      <c r="I257" s="582" t="str">
        <f>VLOOKUP(H257,'9a-Typen vloeren'!$A$10:$B$40,2,FALSE)</f>
        <v>zie kwaliteitsontwerp</v>
      </c>
      <c r="J257" s="589">
        <v>1.5</v>
      </c>
      <c r="K257" s="433">
        <f t="shared" si="15"/>
        <v>0</v>
      </c>
      <c r="L257" s="433">
        <f t="shared" si="16"/>
        <v>0</v>
      </c>
      <c r="M257" s="433">
        <f t="shared" si="17"/>
        <v>0</v>
      </c>
      <c r="N257" s="672"/>
      <c r="O257" s="729">
        <f>IF(N257="",0,N257*K257/'9b-Vloeronderhoud'!$F$4)</f>
        <v>0</v>
      </c>
      <c r="P257" s="672"/>
      <c r="Q257" s="729" t="e">
        <f>IF(O257="",0,P257*L257/'9b-Vloeronderhoud'!$F$6)</f>
        <v>#DIV/0!</v>
      </c>
      <c r="R257" s="449">
        <v>1</v>
      </c>
      <c r="S257" s="672">
        <v>190</v>
      </c>
      <c r="T257" s="161" t="e">
        <f t="shared" si="18"/>
        <v>#DIV/0!</v>
      </c>
      <c r="U257" s="162">
        <f>IF(S257="nio",0,IF(S257&gt;0,VLOOKUP(G257,'3-Productie normen'!A:K,VLOOKUP(S257,'3-Productie normen'!L:N,3,FALSE),FALSE)))</f>
        <v>0</v>
      </c>
      <c r="V257" s="162">
        <f>VLOOKUP(G257,'3-Productie normen'!A:K,10,FALSE)</f>
        <v>1859.5880019121171</v>
      </c>
      <c r="W257" s="163">
        <f>VLOOKUP(G257,'3-Productie normen'!A:K,11,FALSE)</f>
        <v>0</v>
      </c>
      <c r="X257" s="163"/>
      <c r="Z257" s="129">
        <f t="shared" si="19"/>
        <v>285</v>
      </c>
    </row>
    <row r="258" spans="1:26" ht="14.1" customHeight="1">
      <c r="A258" s="144">
        <v>264</v>
      </c>
      <c r="B258" s="485" t="s">
        <v>231</v>
      </c>
      <c r="C258" s="485" t="s">
        <v>486</v>
      </c>
      <c r="D258" s="527" t="s">
        <v>374</v>
      </c>
      <c r="E258" s="708" t="s">
        <v>385</v>
      </c>
      <c r="F258" s="537" t="s">
        <v>302</v>
      </c>
      <c r="G258" s="546" t="s">
        <v>18</v>
      </c>
      <c r="H258" s="303" t="s">
        <v>967</v>
      </c>
      <c r="I258" s="582" t="str">
        <f>VLOOKUP(H258,'9a-Typen vloeren'!$A$10:$B$40,2,FALSE)</f>
        <v>zie kwaliteitsontwerp</v>
      </c>
      <c r="J258" s="589">
        <v>5.6999998092651367</v>
      </c>
      <c r="K258" s="433">
        <f t="shared" si="15"/>
        <v>0</v>
      </c>
      <c r="L258" s="433">
        <f t="shared" si="16"/>
        <v>0</v>
      </c>
      <c r="M258" s="433">
        <f t="shared" si="17"/>
        <v>0</v>
      </c>
      <c r="N258" s="672"/>
      <c r="O258" s="729">
        <f>IF(N258="",0,N258*K258/'9b-Vloeronderhoud'!$F$4)</f>
        <v>0</v>
      </c>
      <c r="P258" s="672"/>
      <c r="Q258" s="729" t="e">
        <f>IF(O258="",0,P258*L258/'9b-Vloeronderhoud'!$F$6)</f>
        <v>#DIV/0!</v>
      </c>
      <c r="R258" s="449">
        <v>1</v>
      </c>
      <c r="S258" s="672">
        <v>190</v>
      </c>
      <c r="T258" s="161" t="e">
        <f t="shared" si="18"/>
        <v>#DIV/0!</v>
      </c>
      <c r="U258" s="162">
        <f>IF(S258="nio",0,IF(S258&gt;0,VLOOKUP(G258,'3-Productie normen'!A:K,VLOOKUP(S258,'3-Productie normen'!L:N,3,FALSE),FALSE)))</f>
        <v>0</v>
      </c>
      <c r="V258" s="162">
        <f>VLOOKUP(G258,'3-Productie normen'!A:K,10,FALSE)</f>
        <v>1859.5880019121171</v>
      </c>
      <c r="W258" s="163">
        <f>VLOOKUP(G258,'3-Productie normen'!A:K,11,FALSE)</f>
        <v>0</v>
      </c>
      <c r="X258" s="163"/>
      <c r="Z258" s="129">
        <f t="shared" si="19"/>
        <v>1082.999963760376</v>
      </c>
    </row>
    <row r="259" spans="1:26" ht="14.1" customHeight="1">
      <c r="A259" s="144">
        <v>265</v>
      </c>
      <c r="B259" s="485" t="s">
        <v>231</v>
      </c>
      <c r="C259" s="485" t="s">
        <v>486</v>
      </c>
      <c r="D259" s="527" t="s">
        <v>374</v>
      </c>
      <c r="E259" s="708" t="s">
        <v>370</v>
      </c>
      <c r="F259" s="502" t="s">
        <v>281</v>
      </c>
      <c r="G259" s="460" t="s">
        <v>881</v>
      </c>
      <c r="H259" s="537" t="s">
        <v>375</v>
      </c>
      <c r="I259" s="582" t="str">
        <f>VLOOKUP(H259,'9a-Typen vloeren'!$A$10:$B$40,2,FALSE)</f>
        <v>n.v.t.</v>
      </c>
      <c r="J259" s="589">
        <v>3</v>
      </c>
      <c r="K259" s="433">
        <f t="shared" si="15"/>
        <v>0</v>
      </c>
      <c r="L259" s="433">
        <f t="shared" si="16"/>
        <v>0</v>
      </c>
      <c r="M259" s="433">
        <f t="shared" si="17"/>
        <v>0</v>
      </c>
      <c r="N259" s="672"/>
      <c r="O259" s="729">
        <f>IF(N259="",0,N259*K259/'9b-Vloeronderhoud'!$F$4)</f>
        <v>0</v>
      </c>
      <c r="P259" s="672"/>
      <c r="Q259" s="729" t="e">
        <f>IF(O259="",0,P259*L259/'9b-Vloeronderhoud'!$F$6)</f>
        <v>#DIV/0!</v>
      </c>
      <c r="R259" s="449">
        <v>1</v>
      </c>
      <c r="S259" s="672" t="s">
        <v>179</v>
      </c>
      <c r="T259" s="161">
        <f t="shared" si="18"/>
        <v>0</v>
      </c>
      <c r="U259" s="162">
        <f>IF(S259="nio",0,IF(S259&gt;0,VLOOKUP(G259,'3-Productie normen'!A:K,VLOOKUP(S259,'3-Productie normen'!L:N,3,FALSE),FALSE)))</f>
        <v>0</v>
      </c>
      <c r="V259" s="162">
        <f>VLOOKUP(G259,'3-Productie normen'!A:K,10,FALSE)</f>
        <v>5262.809993648526</v>
      </c>
      <c r="W259" s="163">
        <f>VLOOKUP(G259,'3-Productie normen'!A:K,11,FALSE)</f>
        <v>0</v>
      </c>
      <c r="X259" s="163"/>
      <c r="Z259" s="129">
        <f t="shared" si="19"/>
        <v>0</v>
      </c>
    </row>
    <row r="260" spans="1:26" ht="14.1" customHeight="1">
      <c r="A260" s="144">
        <v>266</v>
      </c>
      <c r="B260" s="485" t="s">
        <v>231</v>
      </c>
      <c r="C260" s="485" t="s">
        <v>486</v>
      </c>
      <c r="D260" s="527" t="s">
        <v>374</v>
      </c>
      <c r="E260" s="708" t="s">
        <v>371</v>
      </c>
      <c r="F260" s="502" t="s">
        <v>297</v>
      </c>
      <c r="G260" s="122" t="s">
        <v>189</v>
      </c>
      <c r="H260" s="537" t="s">
        <v>398</v>
      </c>
      <c r="I260" s="582" t="str">
        <f>VLOOKUP(H260,'9a-Typen vloeren'!$A$10:$B$40,2,FALSE)</f>
        <v>n.v.t.</v>
      </c>
      <c r="J260" s="589">
        <v>12</v>
      </c>
      <c r="K260" s="433">
        <f t="shared" si="15"/>
        <v>0</v>
      </c>
      <c r="L260" s="433">
        <f t="shared" si="16"/>
        <v>0</v>
      </c>
      <c r="M260" s="433">
        <f t="shared" si="17"/>
        <v>0</v>
      </c>
      <c r="N260" s="672"/>
      <c r="O260" s="729">
        <f>IF(N260="",0,N260*K260/'9b-Vloeronderhoud'!$F$4)</f>
        <v>0</v>
      </c>
      <c r="P260" s="672"/>
      <c r="Q260" s="729" t="e">
        <f>IF(O260="",0,P260*L260/'9b-Vloeronderhoud'!$F$6)</f>
        <v>#DIV/0!</v>
      </c>
      <c r="R260" s="449">
        <v>1</v>
      </c>
      <c r="S260" s="672">
        <v>40</v>
      </c>
      <c r="T260" s="161" t="e">
        <f t="shared" si="18"/>
        <v>#DIV/0!</v>
      </c>
      <c r="U260" s="162">
        <f>IF(S260="nio",0,IF(S260&gt;0,VLOOKUP(G260,'3-Productie normen'!A:K,VLOOKUP(S260,'3-Productie normen'!L:N,3,FALSE),FALSE)))</f>
        <v>0</v>
      </c>
      <c r="V260" s="162">
        <f>VLOOKUP(G260,'3-Productie normen'!A:K,10,FALSE)</f>
        <v>1494.1700078582762</v>
      </c>
      <c r="W260" s="163">
        <f>VLOOKUP(G260,'3-Productie normen'!A:K,11,FALSE)</f>
        <v>0</v>
      </c>
      <c r="X260" s="163"/>
      <c r="Z260" s="129">
        <f t="shared" si="19"/>
        <v>480</v>
      </c>
    </row>
    <row r="261" spans="1:26" ht="14.1" customHeight="1">
      <c r="A261" s="144">
        <v>267</v>
      </c>
      <c r="B261" s="485" t="s">
        <v>231</v>
      </c>
      <c r="C261" s="485" t="s">
        <v>486</v>
      </c>
      <c r="D261" s="527" t="s">
        <v>374</v>
      </c>
      <c r="E261" s="708" t="s">
        <v>372</v>
      </c>
      <c r="F261" s="502" t="s">
        <v>350</v>
      </c>
      <c r="G261" s="122" t="s">
        <v>299</v>
      </c>
      <c r="H261" s="537" t="s">
        <v>398</v>
      </c>
      <c r="I261" s="582" t="str">
        <f>VLOOKUP(H261,'9a-Typen vloeren'!$A$10:$B$40,2,FALSE)</f>
        <v>n.v.t.</v>
      </c>
      <c r="J261" s="589">
        <v>31</v>
      </c>
      <c r="K261" s="433">
        <f t="shared" ref="K261:K324" si="20">IF(G261="niet in onderhoud",0,IF(I261="sprayen/ conserveren",J261,0))</f>
        <v>0</v>
      </c>
      <c r="L261" s="433">
        <f t="shared" ref="L261:L324" si="21">IF(G261="niet in onderhoud",0,IF(I261="schrobben",J261,0))</f>
        <v>0</v>
      </c>
      <c r="M261" s="433">
        <f t="shared" ref="M261:M324" si="22">IF(G261="niet in onderhoud",0,IF(I261="Sproei/extraheren",J261,0))</f>
        <v>0</v>
      </c>
      <c r="N261" s="672"/>
      <c r="O261" s="729">
        <f>IF(N261="",0,N261*K261/'9b-Vloeronderhoud'!$F$4)</f>
        <v>0</v>
      </c>
      <c r="P261" s="672"/>
      <c r="Q261" s="729" t="e">
        <f>IF(O261="",0,P261*L261/'9b-Vloeronderhoud'!$F$6)</f>
        <v>#DIV/0!</v>
      </c>
      <c r="R261" s="449">
        <v>1</v>
      </c>
      <c r="S261" s="672">
        <v>40</v>
      </c>
      <c r="T261" s="161" t="e">
        <f t="shared" si="18"/>
        <v>#DIV/0!</v>
      </c>
      <c r="U261" s="162">
        <f>IF(S261="nio",0,IF(S261&gt;0,VLOOKUP(G261,'3-Productie normen'!A:K,VLOOKUP(S261,'3-Productie normen'!L:N,3,FALSE),FALSE)))</f>
        <v>0</v>
      </c>
      <c r="V261" s="162">
        <f>VLOOKUP(G261,'3-Productie normen'!A:K,10,FALSE)</f>
        <v>1107.9100014114381</v>
      </c>
      <c r="W261" s="163">
        <f>VLOOKUP(G261,'3-Productie normen'!A:K,11,FALSE)</f>
        <v>0</v>
      </c>
      <c r="X261" s="163"/>
      <c r="Z261" s="129">
        <f t="shared" si="19"/>
        <v>1240</v>
      </c>
    </row>
    <row r="262" spans="1:26" ht="14.1" customHeight="1">
      <c r="A262" s="144">
        <v>268</v>
      </c>
      <c r="B262" s="485" t="s">
        <v>231</v>
      </c>
      <c r="C262" s="485" t="s">
        <v>486</v>
      </c>
      <c r="D262" s="527" t="s">
        <v>374</v>
      </c>
      <c r="E262" s="708" t="s">
        <v>386</v>
      </c>
      <c r="F262" s="502" t="s">
        <v>343</v>
      </c>
      <c r="G262" s="122" t="s">
        <v>286</v>
      </c>
      <c r="H262" s="537" t="s">
        <v>100</v>
      </c>
      <c r="I262" s="582" t="str">
        <f>VLOOKUP(H262,'9a-Typen vloeren'!$A$10:$B$40,2,FALSE)</f>
        <v>Sprayen/ conserveren</v>
      </c>
      <c r="J262" s="589">
        <v>4.8000001907348633</v>
      </c>
      <c r="K262" s="433">
        <f t="shared" si="20"/>
        <v>4.8000001907348633</v>
      </c>
      <c r="L262" s="433">
        <f t="shared" si="21"/>
        <v>0</v>
      </c>
      <c r="M262" s="433">
        <f t="shared" si="22"/>
        <v>0</v>
      </c>
      <c r="N262" s="672"/>
      <c r="O262" s="729">
        <f>IF(N262="",0,N262*K262/'9b-Vloeronderhoud'!$F$4)</f>
        <v>0</v>
      </c>
      <c r="P262" s="672"/>
      <c r="Q262" s="729" t="e">
        <f>IF(O262="",0,P262*L262/'9b-Vloeronderhoud'!$F$6)</f>
        <v>#DIV/0!</v>
      </c>
      <c r="R262" s="449">
        <v>1</v>
      </c>
      <c r="S262" s="672">
        <v>80</v>
      </c>
      <c r="T262" s="161" t="e">
        <f t="shared" si="18"/>
        <v>#DIV/0!</v>
      </c>
      <c r="U262" s="162">
        <f>IF(S262="nio",0,IF(S262&gt;0,VLOOKUP(G262,'3-Productie normen'!A:K,VLOOKUP(S262,'3-Productie normen'!L:N,3,FALSE),FALSE)))</f>
        <v>0</v>
      </c>
      <c r="V262" s="162">
        <f>VLOOKUP(G262,'3-Productie normen'!A:K,10,FALSE)</f>
        <v>6152.9500017547598</v>
      </c>
      <c r="W262" s="163">
        <f>VLOOKUP(G262,'3-Productie normen'!A:K,11,FALSE)</f>
        <v>0</v>
      </c>
      <c r="X262" s="163"/>
      <c r="Z262" s="129">
        <f t="shared" si="19"/>
        <v>384.00001525878906</v>
      </c>
    </row>
    <row r="263" spans="1:26" ht="14.1" customHeight="1">
      <c r="A263" s="144">
        <v>269</v>
      </c>
      <c r="B263" s="485" t="s">
        <v>231</v>
      </c>
      <c r="C263" s="485" t="s">
        <v>486</v>
      </c>
      <c r="D263" s="527" t="s">
        <v>374</v>
      </c>
      <c r="E263" s="708" t="s">
        <v>387</v>
      </c>
      <c r="F263" s="502" t="s">
        <v>313</v>
      </c>
      <c r="G263" s="460" t="s">
        <v>881</v>
      </c>
      <c r="H263" s="537" t="s">
        <v>100</v>
      </c>
      <c r="I263" s="582" t="str">
        <f>VLOOKUP(H263,'9a-Typen vloeren'!$A$10:$B$40,2,FALSE)</f>
        <v>Sprayen/ conserveren</v>
      </c>
      <c r="J263" s="589">
        <v>34.799999237060547</v>
      </c>
      <c r="K263" s="433">
        <f t="shared" si="20"/>
        <v>0</v>
      </c>
      <c r="L263" s="433">
        <f t="shared" si="21"/>
        <v>0</v>
      </c>
      <c r="M263" s="433">
        <f t="shared" si="22"/>
        <v>0</v>
      </c>
      <c r="N263" s="672"/>
      <c r="O263" s="729">
        <f>IF(N263="",0,N263*K263/'9b-Vloeronderhoud'!$F$4)</f>
        <v>0</v>
      </c>
      <c r="P263" s="672"/>
      <c r="Q263" s="729" t="e">
        <f>IF(O263="",0,P263*L263/'9b-Vloeronderhoud'!$F$6)</f>
        <v>#DIV/0!</v>
      </c>
      <c r="R263" s="449">
        <v>1</v>
      </c>
      <c r="S263" s="672" t="s">
        <v>179</v>
      </c>
      <c r="T263" s="161">
        <f t="shared" si="18"/>
        <v>0</v>
      </c>
      <c r="U263" s="162">
        <f>IF(S263="nio",0,IF(S263&gt;0,VLOOKUP(G263,'3-Productie normen'!A:K,VLOOKUP(S263,'3-Productie normen'!L:N,3,FALSE),FALSE)))</f>
        <v>0</v>
      </c>
      <c r="V263" s="162">
        <f>VLOOKUP(G263,'3-Productie normen'!A:K,10,FALSE)</f>
        <v>5262.809993648526</v>
      </c>
      <c r="W263" s="163">
        <f>VLOOKUP(G263,'3-Productie normen'!A:K,11,FALSE)</f>
        <v>0</v>
      </c>
      <c r="X263" s="163"/>
      <c r="Z263" s="129">
        <f t="shared" si="19"/>
        <v>0</v>
      </c>
    </row>
    <row r="264" spans="1:26" ht="14.1" customHeight="1">
      <c r="A264" s="144">
        <v>270</v>
      </c>
      <c r="B264" s="485" t="s">
        <v>231</v>
      </c>
      <c r="C264" s="485" t="s">
        <v>486</v>
      </c>
      <c r="D264" s="527" t="s">
        <v>374</v>
      </c>
      <c r="E264" s="708" t="s">
        <v>388</v>
      </c>
      <c r="F264" s="502" t="s">
        <v>302</v>
      </c>
      <c r="G264" s="533" t="s">
        <v>18</v>
      </c>
      <c r="H264" s="303" t="s">
        <v>967</v>
      </c>
      <c r="I264" s="582" t="str">
        <f>VLOOKUP(H264,'9a-Typen vloeren'!$A$10:$B$40,2,FALSE)</f>
        <v>zie kwaliteitsontwerp</v>
      </c>
      <c r="J264" s="589">
        <v>1</v>
      </c>
      <c r="K264" s="433">
        <f t="shared" si="20"/>
        <v>0</v>
      </c>
      <c r="L264" s="433">
        <f t="shared" si="21"/>
        <v>0</v>
      </c>
      <c r="M264" s="433">
        <f t="shared" si="22"/>
        <v>0</v>
      </c>
      <c r="N264" s="672"/>
      <c r="O264" s="729">
        <f>IF(N264="",0,N264*K264/'9b-Vloeronderhoud'!$F$4)</f>
        <v>0</v>
      </c>
      <c r="P264" s="672"/>
      <c r="Q264" s="729" t="e">
        <f>IF(O264="",0,P264*L264/'9b-Vloeronderhoud'!$F$6)</f>
        <v>#DIV/0!</v>
      </c>
      <c r="R264" s="449">
        <v>1</v>
      </c>
      <c r="S264" s="672">
        <v>190</v>
      </c>
      <c r="T264" s="161" t="e">
        <f t="shared" si="18"/>
        <v>#DIV/0!</v>
      </c>
      <c r="U264" s="162">
        <f>IF(S264="nio",0,IF(S264&gt;0,VLOOKUP(G264,'3-Productie normen'!A:K,VLOOKUP(S264,'3-Productie normen'!L:N,3,FALSE),FALSE)))</f>
        <v>0</v>
      </c>
      <c r="V264" s="162">
        <f>VLOOKUP(G264,'3-Productie normen'!A:K,10,FALSE)</f>
        <v>1859.5880019121171</v>
      </c>
      <c r="W264" s="163">
        <f>VLOOKUP(G264,'3-Productie normen'!A:K,11,FALSE)</f>
        <v>0</v>
      </c>
      <c r="X264" s="163"/>
      <c r="Z264" s="129">
        <f t="shared" si="19"/>
        <v>190</v>
      </c>
    </row>
    <row r="265" spans="1:26" ht="14.1" customHeight="1">
      <c r="A265" s="144">
        <v>271</v>
      </c>
      <c r="B265" s="485" t="s">
        <v>231</v>
      </c>
      <c r="C265" s="485" t="s">
        <v>486</v>
      </c>
      <c r="D265" s="527" t="s">
        <v>374</v>
      </c>
      <c r="E265" s="708" t="s">
        <v>389</v>
      </c>
      <c r="F265" s="502" t="s">
        <v>302</v>
      </c>
      <c r="G265" s="122" t="s">
        <v>18</v>
      </c>
      <c r="H265" s="303" t="s">
        <v>967</v>
      </c>
      <c r="I265" s="582" t="str">
        <f>VLOOKUP(H265,'9a-Typen vloeren'!$A$10:$B$40,2,FALSE)</f>
        <v>zie kwaliteitsontwerp</v>
      </c>
      <c r="J265" s="589">
        <v>1</v>
      </c>
      <c r="K265" s="433">
        <f t="shared" si="20"/>
        <v>0</v>
      </c>
      <c r="L265" s="433">
        <f t="shared" si="21"/>
        <v>0</v>
      </c>
      <c r="M265" s="433">
        <f t="shared" si="22"/>
        <v>0</v>
      </c>
      <c r="N265" s="672"/>
      <c r="O265" s="729">
        <f>IF(N265="",0,N265*K265/'9b-Vloeronderhoud'!$F$4)</f>
        <v>0</v>
      </c>
      <c r="P265" s="672"/>
      <c r="Q265" s="729" t="e">
        <f>IF(O265="",0,P265*L265/'9b-Vloeronderhoud'!$F$6)</f>
        <v>#DIV/0!</v>
      </c>
      <c r="R265" s="449">
        <v>1</v>
      </c>
      <c r="S265" s="672">
        <v>190</v>
      </c>
      <c r="T265" s="161" t="e">
        <f t="shared" si="18"/>
        <v>#DIV/0!</v>
      </c>
      <c r="U265" s="162">
        <f>IF(S265="nio",0,IF(S265&gt;0,VLOOKUP(G265,'3-Productie normen'!A:K,VLOOKUP(S265,'3-Productie normen'!L:N,3,FALSE),FALSE)))</f>
        <v>0</v>
      </c>
      <c r="V265" s="162">
        <f>VLOOKUP(G265,'3-Productie normen'!A:K,10,FALSE)</f>
        <v>1859.5880019121171</v>
      </c>
      <c r="W265" s="163">
        <f>VLOOKUP(G265,'3-Productie normen'!A:K,11,FALSE)</f>
        <v>0</v>
      </c>
      <c r="X265" s="163"/>
      <c r="Z265" s="129">
        <f t="shared" si="19"/>
        <v>190</v>
      </c>
    </row>
    <row r="266" spans="1:26" ht="14.1" customHeight="1">
      <c r="A266" s="144">
        <v>272</v>
      </c>
      <c r="B266" s="485" t="s">
        <v>231</v>
      </c>
      <c r="C266" s="485" t="s">
        <v>486</v>
      </c>
      <c r="D266" s="527" t="s">
        <v>374</v>
      </c>
      <c r="E266" s="708" t="s">
        <v>390</v>
      </c>
      <c r="F266" s="502" t="s">
        <v>391</v>
      </c>
      <c r="G266" s="460" t="s">
        <v>881</v>
      </c>
      <c r="H266" s="537" t="s">
        <v>102</v>
      </c>
      <c r="I266" s="582" t="str">
        <f>VLOOKUP(H266,'9a-Typen vloeren'!$A$10:$B$40,2,FALSE)</f>
        <v>n.v.t.</v>
      </c>
      <c r="J266" s="589">
        <v>9.7200002670288086</v>
      </c>
      <c r="K266" s="433">
        <f t="shared" si="20"/>
        <v>0</v>
      </c>
      <c r="L266" s="433">
        <f t="shared" si="21"/>
        <v>0</v>
      </c>
      <c r="M266" s="433">
        <f t="shared" si="22"/>
        <v>0</v>
      </c>
      <c r="N266" s="672"/>
      <c r="O266" s="729">
        <f>IF(N266="",0,N266*K266/'9b-Vloeronderhoud'!$F$4)</f>
        <v>0</v>
      </c>
      <c r="P266" s="672"/>
      <c r="Q266" s="729" t="e">
        <f>IF(O266="",0,P266*L266/'9b-Vloeronderhoud'!$F$6)</f>
        <v>#DIV/0!</v>
      </c>
      <c r="R266" s="449">
        <v>1</v>
      </c>
      <c r="S266" s="672" t="s">
        <v>179</v>
      </c>
      <c r="T266" s="161">
        <f t="shared" ref="T266:T329" si="23">IF(S266="nio",0,IF(S266&gt;0,S266*J266/U266,0))*R266</f>
        <v>0</v>
      </c>
      <c r="U266" s="162">
        <f>IF(S266="nio",0,IF(S266&gt;0,VLOOKUP(G266,'3-Productie normen'!A:K,VLOOKUP(S266,'3-Productie normen'!L:N,3,FALSE),FALSE)))</f>
        <v>0</v>
      </c>
      <c r="V266" s="162">
        <f>VLOOKUP(G266,'3-Productie normen'!A:K,10,FALSE)</f>
        <v>5262.809993648526</v>
      </c>
      <c r="W266" s="163">
        <f>VLOOKUP(G266,'3-Productie normen'!A:K,11,FALSE)</f>
        <v>0</v>
      </c>
      <c r="X266" s="163"/>
      <c r="Z266" s="129">
        <f t="shared" ref="Z266:Z329" si="24">SUM(S266:S266)*J266</f>
        <v>0</v>
      </c>
    </row>
    <row r="267" spans="1:26" ht="14.1" customHeight="1">
      <c r="A267" s="144">
        <v>273</v>
      </c>
      <c r="B267" s="485" t="s">
        <v>231</v>
      </c>
      <c r="C267" s="485" t="s">
        <v>486</v>
      </c>
      <c r="D267" s="527" t="s">
        <v>374</v>
      </c>
      <c r="E267" s="708" t="s">
        <v>392</v>
      </c>
      <c r="F267" s="502" t="s">
        <v>221</v>
      </c>
      <c r="G267" s="126" t="s">
        <v>221</v>
      </c>
      <c r="H267" s="537" t="s">
        <v>100</v>
      </c>
      <c r="I267" s="582" t="str">
        <f>VLOOKUP(H267,'9a-Typen vloeren'!$A$10:$B$40,2,FALSE)</f>
        <v>Sprayen/ conserveren</v>
      </c>
      <c r="J267" s="589">
        <v>57</v>
      </c>
      <c r="K267" s="433">
        <f t="shared" si="20"/>
        <v>57</v>
      </c>
      <c r="L267" s="433">
        <f t="shared" si="21"/>
        <v>0</v>
      </c>
      <c r="M267" s="433">
        <f t="shared" si="22"/>
        <v>0</v>
      </c>
      <c r="N267" s="672"/>
      <c r="O267" s="729">
        <f>IF(N267="",0,N267*K267/'9b-Vloeronderhoud'!$F$4)</f>
        <v>0</v>
      </c>
      <c r="P267" s="672"/>
      <c r="Q267" s="729" t="e">
        <f>IF(O267="",0,P267*L267/'9b-Vloeronderhoud'!$F$6)</f>
        <v>#DIV/0!</v>
      </c>
      <c r="R267" s="449">
        <v>1</v>
      </c>
      <c r="S267" s="672">
        <v>80</v>
      </c>
      <c r="T267" s="161" t="e">
        <f t="shared" si="23"/>
        <v>#DIV/0!</v>
      </c>
      <c r="U267" s="162">
        <f>IF(S267="nio",0,IF(S267&gt;0,VLOOKUP(G267,'3-Productie normen'!A:K,VLOOKUP(S267,'3-Productie normen'!L:N,3,FALSE),FALSE)))</f>
        <v>0</v>
      </c>
      <c r="V267" s="162">
        <f>VLOOKUP(G267,'3-Productie normen'!A:K,10,FALSE)</f>
        <v>16013.110036668773</v>
      </c>
      <c r="W267" s="163">
        <f>VLOOKUP(G267,'3-Productie normen'!A:K,11,FALSE)</f>
        <v>0</v>
      </c>
      <c r="X267" s="163"/>
      <c r="Z267" s="129">
        <f t="shared" si="24"/>
        <v>4560</v>
      </c>
    </row>
    <row r="268" spans="1:26" ht="14.1" customHeight="1">
      <c r="A268" s="144">
        <v>274</v>
      </c>
      <c r="B268" s="485" t="s">
        <v>231</v>
      </c>
      <c r="C268" s="485" t="s">
        <v>486</v>
      </c>
      <c r="D268" s="527" t="s">
        <v>374</v>
      </c>
      <c r="E268" s="708" t="s">
        <v>393</v>
      </c>
      <c r="F268" s="502" t="s">
        <v>221</v>
      </c>
      <c r="G268" s="303" t="s">
        <v>221</v>
      </c>
      <c r="H268" s="537" t="s">
        <v>100</v>
      </c>
      <c r="I268" s="582" t="str">
        <f>VLOOKUP(H268,'9a-Typen vloeren'!$A$10:$B$40,2,FALSE)</f>
        <v>Sprayen/ conserveren</v>
      </c>
      <c r="J268" s="589">
        <v>57</v>
      </c>
      <c r="K268" s="433">
        <f t="shared" si="20"/>
        <v>57</v>
      </c>
      <c r="L268" s="433">
        <f t="shared" si="21"/>
        <v>0</v>
      </c>
      <c r="M268" s="433">
        <f t="shared" si="22"/>
        <v>0</v>
      </c>
      <c r="N268" s="672"/>
      <c r="O268" s="729">
        <f>IF(N268="",0,N268*K268/'9b-Vloeronderhoud'!$F$4)</f>
        <v>0</v>
      </c>
      <c r="P268" s="672"/>
      <c r="Q268" s="729" t="e">
        <f>IF(O268="",0,P268*L268/'9b-Vloeronderhoud'!$F$6)</f>
        <v>#DIV/0!</v>
      </c>
      <c r="R268" s="449">
        <v>1</v>
      </c>
      <c r="S268" s="672">
        <v>80</v>
      </c>
      <c r="T268" s="161" t="e">
        <f t="shared" si="23"/>
        <v>#DIV/0!</v>
      </c>
      <c r="U268" s="162">
        <f>IF(S268="nio",0,IF(S268&gt;0,VLOOKUP(G268,'3-Productie normen'!A:K,VLOOKUP(S268,'3-Productie normen'!L:N,3,FALSE),FALSE)))</f>
        <v>0</v>
      </c>
      <c r="V268" s="162">
        <f>VLOOKUP(G268,'3-Productie normen'!A:K,10,FALSE)</f>
        <v>16013.110036668773</v>
      </c>
      <c r="W268" s="163">
        <f>VLOOKUP(G268,'3-Productie normen'!A:K,11,FALSE)</f>
        <v>0</v>
      </c>
      <c r="X268" s="163"/>
      <c r="Z268" s="129">
        <f t="shared" si="24"/>
        <v>4560</v>
      </c>
    </row>
    <row r="269" spans="1:26" ht="14.1" customHeight="1">
      <c r="A269" s="144">
        <v>275</v>
      </c>
      <c r="B269" s="485" t="s">
        <v>231</v>
      </c>
      <c r="C269" s="485" t="s">
        <v>486</v>
      </c>
      <c r="D269" s="527" t="s">
        <v>374</v>
      </c>
      <c r="E269" s="708" t="s">
        <v>394</v>
      </c>
      <c r="F269" s="536" t="s">
        <v>221</v>
      </c>
      <c r="G269" s="122" t="s">
        <v>221</v>
      </c>
      <c r="H269" s="537" t="s">
        <v>100</v>
      </c>
      <c r="I269" s="582" t="str">
        <f>VLOOKUP(H269,'9a-Typen vloeren'!$A$10:$B$40,2,FALSE)</f>
        <v>Sprayen/ conserveren</v>
      </c>
      <c r="J269" s="589">
        <v>57</v>
      </c>
      <c r="K269" s="433">
        <f t="shared" si="20"/>
        <v>57</v>
      </c>
      <c r="L269" s="433">
        <f t="shared" si="21"/>
        <v>0</v>
      </c>
      <c r="M269" s="433">
        <f t="shared" si="22"/>
        <v>0</v>
      </c>
      <c r="N269" s="672"/>
      <c r="O269" s="729">
        <f>IF(N269="",0,N269*K269/'9b-Vloeronderhoud'!$F$4)</f>
        <v>0</v>
      </c>
      <c r="P269" s="672"/>
      <c r="Q269" s="729" t="e">
        <f>IF(O269="",0,P269*L269/'9b-Vloeronderhoud'!$F$6)</f>
        <v>#DIV/0!</v>
      </c>
      <c r="R269" s="449">
        <v>1</v>
      </c>
      <c r="S269" s="672">
        <v>80</v>
      </c>
      <c r="T269" s="161" t="e">
        <f t="shared" si="23"/>
        <v>#DIV/0!</v>
      </c>
      <c r="U269" s="162">
        <f>IF(S269="nio",0,IF(S269&gt;0,VLOOKUP(G269,'3-Productie normen'!A:K,VLOOKUP(S269,'3-Productie normen'!L:N,3,FALSE),FALSE)))</f>
        <v>0</v>
      </c>
      <c r="V269" s="162">
        <f>VLOOKUP(G269,'3-Productie normen'!A:K,10,FALSE)</f>
        <v>16013.110036668773</v>
      </c>
      <c r="W269" s="163">
        <f>VLOOKUP(G269,'3-Productie normen'!A:K,11,FALSE)</f>
        <v>0</v>
      </c>
      <c r="X269" s="163"/>
      <c r="Z269" s="129">
        <f t="shared" si="24"/>
        <v>4560</v>
      </c>
    </row>
    <row r="270" spans="1:26" ht="14.1" customHeight="1">
      <c r="A270" s="144">
        <v>276</v>
      </c>
      <c r="B270" s="485" t="s">
        <v>231</v>
      </c>
      <c r="C270" s="485" t="s">
        <v>486</v>
      </c>
      <c r="D270" s="527" t="s">
        <v>374</v>
      </c>
      <c r="E270" s="708" t="s">
        <v>395</v>
      </c>
      <c r="F270" s="536" t="s">
        <v>221</v>
      </c>
      <c r="G270" s="546" t="s">
        <v>221</v>
      </c>
      <c r="H270" s="537" t="s">
        <v>100</v>
      </c>
      <c r="I270" s="582" t="str">
        <f>VLOOKUP(H270,'9a-Typen vloeren'!$A$10:$B$40,2,FALSE)</f>
        <v>Sprayen/ conserveren</v>
      </c>
      <c r="J270" s="589">
        <v>57</v>
      </c>
      <c r="K270" s="433">
        <f t="shared" si="20"/>
        <v>57</v>
      </c>
      <c r="L270" s="433">
        <f t="shared" si="21"/>
        <v>0</v>
      </c>
      <c r="M270" s="433">
        <f t="shared" si="22"/>
        <v>0</v>
      </c>
      <c r="N270" s="672"/>
      <c r="O270" s="729">
        <f>IF(N270="",0,N270*K270/'9b-Vloeronderhoud'!$F$4)</f>
        <v>0</v>
      </c>
      <c r="P270" s="672"/>
      <c r="Q270" s="729" t="e">
        <f>IF(O270="",0,P270*L270/'9b-Vloeronderhoud'!$F$6)</f>
        <v>#DIV/0!</v>
      </c>
      <c r="R270" s="449">
        <v>1</v>
      </c>
      <c r="S270" s="672">
        <v>80</v>
      </c>
      <c r="T270" s="161" t="e">
        <f t="shared" si="23"/>
        <v>#DIV/0!</v>
      </c>
      <c r="U270" s="162">
        <f>IF(S270="nio",0,IF(S270&gt;0,VLOOKUP(G270,'3-Productie normen'!A:K,VLOOKUP(S270,'3-Productie normen'!L:N,3,FALSE),FALSE)))</f>
        <v>0</v>
      </c>
      <c r="V270" s="162">
        <f>VLOOKUP(G270,'3-Productie normen'!A:K,10,FALSE)</f>
        <v>16013.110036668773</v>
      </c>
      <c r="W270" s="163">
        <f>VLOOKUP(G270,'3-Productie normen'!A:K,11,FALSE)</f>
        <v>0</v>
      </c>
      <c r="X270" s="163"/>
      <c r="Z270" s="129">
        <f t="shared" si="24"/>
        <v>4560</v>
      </c>
    </row>
    <row r="271" spans="1:26" ht="14.1" customHeight="1">
      <c r="A271" s="144">
        <v>277</v>
      </c>
      <c r="B271" s="485" t="s">
        <v>231</v>
      </c>
      <c r="C271" s="485" t="s">
        <v>486</v>
      </c>
      <c r="D271" s="527" t="s">
        <v>374</v>
      </c>
      <c r="E271" s="708" t="s">
        <v>396</v>
      </c>
      <c r="F271" s="536" t="s">
        <v>221</v>
      </c>
      <c r="G271" s="460" t="s">
        <v>221</v>
      </c>
      <c r="H271" s="537" t="s">
        <v>100</v>
      </c>
      <c r="I271" s="582" t="str">
        <f>VLOOKUP(H271,'9a-Typen vloeren'!$A$10:$B$40,2,FALSE)</f>
        <v>Sprayen/ conserveren</v>
      </c>
      <c r="J271" s="589">
        <v>57</v>
      </c>
      <c r="K271" s="433">
        <f t="shared" si="20"/>
        <v>57</v>
      </c>
      <c r="L271" s="433">
        <f t="shared" si="21"/>
        <v>0</v>
      </c>
      <c r="M271" s="433">
        <f t="shared" si="22"/>
        <v>0</v>
      </c>
      <c r="N271" s="672"/>
      <c r="O271" s="729">
        <f>IF(N271="",0,N271*K271/'9b-Vloeronderhoud'!$F$4)</f>
        <v>0</v>
      </c>
      <c r="P271" s="672"/>
      <c r="Q271" s="729" t="e">
        <f>IF(O271="",0,P271*L271/'9b-Vloeronderhoud'!$F$6)</f>
        <v>#DIV/0!</v>
      </c>
      <c r="R271" s="449">
        <v>1</v>
      </c>
      <c r="S271" s="688" t="s">
        <v>179</v>
      </c>
      <c r="T271" s="161">
        <f t="shared" si="23"/>
        <v>0</v>
      </c>
      <c r="U271" s="162">
        <f>IF(S271="nio",0,IF(S271&gt;0,VLOOKUP(G271,'3-Productie normen'!A:K,VLOOKUP(S271,'3-Productie normen'!L:N,3,FALSE),FALSE)))</f>
        <v>0</v>
      </c>
      <c r="V271" s="162">
        <f>VLOOKUP(G271,'3-Productie normen'!A:K,10,FALSE)</f>
        <v>16013.110036668773</v>
      </c>
      <c r="W271" s="163">
        <f>VLOOKUP(G271,'3-Productie normen'!A:K,11,FALSE)</f>
        <v>0</v>
      </c>
      <c r="X271" s="163"/>
      <c r="Z271" s="129">
        <f t="shared" si="24"/>
        <v>0</v>
      </c>
    </row>
    <row r="272" spans="1:26" ht="14.1" customHeight="1">
      <c r="A272" s="144">
        <v>278</v>
      </c>
      <c r="B272" s="485" t="s">
        <v>231</v>
      </c>
      <c r="C272" s="485" t="s">
        <v>486</v>
      </c>
      <c r="D272" s="527" t="s">
        <v>374</v>
      </c>
      <c r="E272" s="708" t="s">
        <v>397</v>
      </c>
      <c r="F272" s="544" t="s">
        <v>221</v>
      </c>
      <c r="G272" s="122" t="s">
        <v>221</v>
      </c>
      <c r="H272" s="537" t="s">
        <v>100</v>
      </c>
      <c r="I272" s="582" t="str">
        <f>VLOOKUP(H272,'9a-Typen vloeren'!$A$10:$B$40,2,FALSE)</f>
        <v>Sprayen/ conserveren</v>
      </c>
      <c r="J272" s="589">
        <v>57</v>
      </c>
      <c r="K272" s="433">
        <f t="shared" si="20"/>
        <v>57</v>
      </c>
      <c r="L272" s="433">
        <f t="shared" si="21"/>
        <v>0</v>
      </c>
      <c r="M272" s="433">
        <f t="shared" si="22"/>
        <v>0</v>
      </c>
      <c r="N272" s="672"/>
      <c r="O272" s="729">
        <f>IF(N272="",0,N272*K272/'9b-Vloeronderhoud'!$F$4)</f>
        <v>0</v>
      </c>
      <c r="P272" s="672"/>
      <c r="Q272" s="729" t="e">
        <f>IF(O272="",0,P272*L272/'9b-Vloeronderhoud'!$F$6)</f>
        <v>#DIV/0!</v>
      </c>
      <c r="R272" s="449">
        <v>1</v>
      </c>
      <c r="S272" s="688" t="s">
        <v>179</v>
      </c>
      <c r="T272" s="161">
        <f t="shared" si="23"/>
        <v>0</v>
      </c>
      <c r="U272" s="162">
        <f>IF(S272="nio",0,IF(S272&gt;0,VLOOKUP(G272,'3-Productie normen'!A:K,VLOOKUP(S272,'3-Productie normen'!L:N,3,FALSE),FALSE)))</f>
        <v>0</v>
      </c>
      <c r="V272" s="162">
        <f>VLOOKUP(G272,'3-Productie normen'!A:K,10,FALSE)</f>
        <v>16013.110036668773</v>
      </c>
      <c r="W272" s="163">
        <f>VLOOKUP(G272,'3-Productie normen'!A:K,11,FALSE)</f>
        <v>0</v>
      </c>
      <c r="X272" s="163"/>
      <c r="Z272" s="129">
        <f t="shared" si="24"/>
        <v>0</v>
      </c>
    </row>
    <row r="273" spans="1:26" ht="14.1" customHeight="1">
      <c r="A273" s="144">
        <v>279</v>
      </c>
      <c r="B273" s="485" t="s">
        <v>259</v>
      </c>
      <c r="C273" s="490" t="s">
        <v>742</v>
      </c>
      <c r="D273" s="528" t="s">
        <v>98</v>
      </c>
      <c r="E273" s="707" t="s">
        <v>294</v>
      </c>
      <c r="F273" s="534" t="s">
        <v>99</v>
      </c>
      <c r="G273" s="460" t="s">
        <v>99</v>
      </c>
      <c r="H273" s="303" t="s">
        <v>332</v>
      </c>
      <c r="I273" s="582" t="str">
        <f>VLOOKUP(H273,'9a-Typen vloeren'!$A$10:$B$40,2,FALSE)</f>
        <v>Sproei/extraheren</v>
      </c>
      <c r="J273" s="588">
        <v>4</v>
      </c>
      <c r="K273" s="433">
        <f t="shared" si="20"/>
        <v>0</v>
      </c>
      <c r="L273" s="433">
        <f t="shared" si="21"/>
        <v>0</v>
      </c>
      <c r="M273" s="433">
        <f t="shared" si="22"/>
        <v>4</v>
      </c>
      <c r="N273" s="672"/>
      <c r="O273" s="729">
        <f>IF(N273="",0,N273*K273/'9b-Vloeronderhoud'!$F$4)</f>
        <v>0</v>
      </c>
      <c r="P273" s="672"/>
      <c r="Q273" s="729" t="e">
        <f>IF(O273="",0,P273*L273/'9b-Vloeronderhoud'!$F$6)</f>
        <v>#DIV/0!</v>
      </c>
      <c r="R273" s="449">
        <v>1</v>
      </c>
      <c r="S273" s="672">
        <v>190</v>
      </c>
      <c r="T273" s="161" t="e">
        <f t="shared" si="23"/>
        <v>#DIV/0!</v>
      </c>
      <c r="U273" s="162">
        <f>IF(S273="nio",0,IF(S273&gt;0,VLOOKUP(G273,'3-Productie normen'!A:K,VLOOKUP(S273,'3-Productie normen'!L:N,3,FALSE),FALSE)))</f>
        <v>0</v>
      </c>
      <c r="V273" s="162">
        <f>VLOOKUP(G273,'3-Productie normen'!A:K,10,FALSE)</f>
        <v>726.97999910354622</v>
      </c>
      <c r="W273" s="163">
        <f>VLOOKUP(G273,'3-Productie normen'!A:K,11,FALSE)</f>
        <v>0</v>
      </c>
      <c r="X273" s="163"/>
      <c r="Z273" s="129">
        <f t="shared" si="24"/>
        <v>760</v>
      </c>
    </row>
    <row r="274" spans="1:26" ht="14.1" customHeight="1">
      <c r="A274" s="144">
        <v>280</v>
      </c>
      <c r="B274" s="485" t="s">
        <v>259</v>
      </c>
      <c r="C274" s="490" t="s">
        <v>742</v>
      </c>
      <c r="D274" s="528" t="s">
        <v>98</v>
      </c>
      <c r="E274" s="707" t="s">
        <v>295</v>
      </c>
      <c r="F274" s="534" t="s">
        <v>868</v>
      </c>
      <c r="G274" s="533" t="s">
        <v>862</v>
      </c>
      <c r="H274" s="534" t="s">
        <v>100</v>
      </c>
      <c r="I274" s="582" t="str">
        <f>VLOOKUP(H274,'9a-Typen vloeren'!$A$10:$B$40,2,FALSE)</f>
        <v>Sprayen/ conserveren</v>
      </c>
      <c r="J274" s="588">
        <v>95.150001525878906</v>
      </c>
      <c r="K274" s="433">
        <f t="shared" si="20"/>
        <v>95.150001525878906</v>
      </c>
      <c r="L274" s="433">
        <f t="shared" si="21"/>
        <v>0</v>
      </c>
      <c r="M274" s="433">
        <f t="shared" si="22"/>
        <v>0</v>
      </c>
      <c r="N274" s="672">
        <v>2</v>
      </c>
      <c r="O274" s="729" t="e">
        <f>IF(N274="",0,N274*K274/'9b-Vloeronderhoud'!$F$4)</f>
        <v>#DIV/0!</v>
      </c>
      <c r="P274" s="672"/>
      <c r="Q274" s="729" t="e">
        <f>IF(O274="",0,P274*L274/'9b-Vloeronderhoud'!$F$6)</f>
        <v>#DIV/0!</v>
      </c>
      <c r="R274" s="449">
        <v>1</v>
      </c>
      <c r="S274" s="672">
        <v>120</v>
      </c>
      <c r="T274" s="161" t="e">
        <f t="shared" si="23"/>
        <v>#DIV/0!</v>
      </c>
      <c r="U274" s="162">
        <f>IF(S274="nio",0,IF(S274&gt;0,VLOOKUP(G274,'3-Productie normen'!A:K,VLOOKUP(S274,'3-Productie normen'!L:N,3,FALSE),FALSE)))</f>
        <v>0</v>
      </c>
      <c r="V274" s="162">
        <f>VLOOKUP(G274,'3-Productie normen'!A:K,10,FALSE)</f>
        <v>4374.9900215911857</v>
      </c>
      <c r="W274" s="163">
        <f>VLOOKUP(G274,'3-Productie normen'!A:K,11,FALSE)</f>
        <v>0</v>
      </c>
      <c r="X274" s="163"/>
      <c r="Z274" s="129">
        <f t="shared" si="24"/>
        <v>11418.000183105469</v>
      </c>
    </row>
    <row r="275" spans="1:26" ht="14.1" customHeight="1">
      <c r="A275" s="144">
        <v>281</v>
      </c>
      <c r="B275" s="485" t="s">
        <v>259</v>
      </c>
      <c r="C275" s="490" t="s">
        <v>742</v>
      </c>
      <c r="D275" s="528" t="s">
        <v>98</v>
      </c>
      <c r="E275" s="707" t="s">
        <v>296</v>
      </c>
      <c r="F275" s="534" t="s">
        <v>302</v>
      </c>
      <c r="G275" s="460" t="s">
        <v>18</v>
      </c>
      <c r="H275" s="534" t="s">
        <v>954</v>
      </c>
      <c r="I275" s="582" t="str">
        <f>VLOOKUP(H275,'9a-Typen vloeren'!$A$10:$B$40,2,FALSE)</f>
        <v>zie kwaliteitsontwerp</v>
      </c>
      <c r="J275" s="588">
        <v>5.5999999046325684</v>
      </c>
      <c r="K275" s="433">
        <f t="shared" si="20"/>
        <v>0</v>
      </c>
      <c r="L275" s="433">
        <f t="shared" si="21"/>
        <v>0</v>
      </c>
      <c r="M275" s="433">
        <f t="shared" si="22"/>
        <v>0</v>
      </c>
      <c r="N275" s="672"/>
      <c r="O275" s="729">
        <f>IF(N275="",0,N275*K275/'9b-Vloeronderhoud'!$F$4)</f>
        <v>0</v>
      </c>
      <c r="P275" s="672"/>
      <c r="Q275" s="729" t="e">
        <f>IF(O275="",0,P275*L275/'9b-Vloeronderhoud'!$F$6)</f>
        <v>#DIV/0!</v>
      </c>
      <c r="R275" s="449">
        <v>1</v>
      </c>
      <c r="S275" s="672">
        <v>190</v>
      </c>
      <c r="T275" s="161" t="e">
        <f t="shared" si="23"/>
        <v>#DIV/0!</v>
      </c>
      <c r="U275" s="162">
        <f>IF(S275="nio",0,IF(S275&gt;0,VLOOKUP(G275,'3-Productie normen'!A:K,VLOOKUP(S275,'3-Productie normen'!L:N,3,FALSE),FALSE)))</f>
        <v>0</v>
      </c>
      <c r="V275" s="162">
        <f>VLOOKUP(G275,'3-Productie normen'!A:K,10,FALSE)</f>
        <v>1859.5880019121171</v>
      </c>
      <c r="W275" s="163">
        <f>VLOOKUP(G275,'3-Productie normen'!A:K,11,FALSE)</f>
        <v>0</v>
      </c>
      <c r="X275" s="163"/>
      <c r="Z275" s="129">
        <f t="shared" si="24"/>
        <v>1063.999981880188</v>
      </c>
    </row>
    <row r="276" spans="1:26" ht="14.1" customHeight="1">
      <c r="A276" s="144">
        <v>282</v>
      </c>
      <c r="B276" s="485" t="s">
        <v>259</v>
      </c>
      <c r="C276" s="490" t="s">
        <v>742</v>
      </c>
      <c r="D276" s="528" t="s">
        <v>98</v>
      </c>
      <c r="E276" s="707" t="s">
        <v>298</v>
      </c>
      <c r="F276" s="534" t="s">
        <v>221</v>
      </c>
      <c r="G276" s="460" t="s">
        <v>221</v>
      </c>
      <c r="H276" s="534" t="s">
        <v>100</v>
      </c>
      <c r="I276" s="582" t="str">
        <f>VLOOKUP(H276,'9a-Typen vloeren'!$A$10:$B$40,2,FALSE)</f>
        <v>Sprayen/ conserveren</v>
      </c>
      <c r="J276" s="588">
        <v>56</v>
      </c>
      <c r="K276" s="433">
        <f t="shared" si="20"/>
        <v>56</v>
      </c>
      <c r="L276" s="433">
        <f t="shared" si="21"/>
        <v>0</v>
      </c>
      <c r="M276" s="433">
        <f t="shared" si="22"/>
        <v>0</v>
      </c>
      <c r="N276" s="672"/>
      <c r="O276" s="729">
        <f>IF(N276="",0,N276*K276/'9b-Vloeronderhoud'!$F$4)</f>
        <v>0</v>
      </c>
      <c r="P276" s="672"/>
      <c r="Q276" s="729" t="e">
        <f>IF(O276="",0,P276*L276/'9b-Vloeronderhoud'!$F$6)</f>
        <v>#DIV/0!</v>
      </c>
      <c r="R276" s="449">
        <v>1</v>
      </c>
      <c r="S276" s="688" t="s">
        <v>179</v>
      </c>
      <c r="T276" s="161">
        <f t="shared" si="23"/>
        <v>0</v>
      </c>
      <c r="U276" s="162">
        <f>IF(S276="nio",0,IF(S276&gt;0,VLOOKUP(G276,'3-Productie normen'!A:K,VLOOKUP(S276,'3-Productie normen'!L:N,3,FALSE),FALSE)))</f>
        <v>0</v>
      </c>
      <c r="V276" s="162">
        <f>VLOOKUP(G276,'3-Productie normen'!A:K,10,FALSE)</f>
        <v>16013.110036668773</v>
      </c>
      <c r="W276" s="163">
        <f>VLOOKUP(G276,'3-Productie normen'!A:K,11,FALSE)</f>
        <v>0</v>
      </c>
      <c r="X276" s="163"/>
      <c r="Z276" s="129">
        <f t="shared" si="24"/>
        <v>0</v>
      </c>
    </row>
    <row r="277" spans="1:26" ht="14.1" customHeight="1">
      <c r="A277" s="144">
        <v>283</v>
      </c>
      <c r="B277" s="485" t="s">
        <v>259</v>
      </c>
      <c r="C277" s="490" t="s">
        <v>742</v>
      </c>
      <c r="D277" s="528" t="s">
        <v>98</v>
      </c>
      <c r="E277" s="707" t="s">
        <v>301</v>
      </c>
      <c r="F277" s="534" t="s">
        <v>221</v>
      </c>
      <c r="G277" s="122" t="s">
        <v>221</v>
      </c>
      <c r="H277" s="534" t="s">
        <v>100</v>
      </c>
      <c r="I277" s="582" t="str">
        <f>VLOOKUP(H277,'9a-Typen vloeren'!$A$10:$B$40,2,FALSE)</f>
        <v>Sprayen/ conserveren</v>
      </c>
      <c r="J277" s="588">
        <v>56</v>
      </c>
      <c r="K277" s="433">
        <f t="shared" si="20"/>
        <v>56</v>
      </c>
      <c r="L277" s="433">
        <f t="shared" si="21"/>
        <v>0</v>
      </c>
      <c r="M277" s="433">
        <f t="shared" si="22"/>
        <v>0</v>
      </c>
      <c r="N277" s="672"/>
      <c r="O277" s="729">
        <f>IF(N277="",0,N277*K277/'9b-Vloeronderhoud'!$F$4)</f>
        <v>0</v>
      </c>
      <c r="P277" s="672"/>
      <c r="Q277" s="729" t="e">
        <f>IF(O277="",0,P277*L277/'9b-Vloeronderhoud'!$F$6)</f>
        <v>#DIV/0!</v>
      </c>
      <c r="R277" s="449">
        <v>1</v>
      </c>
      <c r="S277" s="672">
        <v>80</v>
      </c>
      <c r="T277" s="161" t="e">
        <f t="shared" si="23"/>
        <v>#DIV/0!</v>
      </c>
      <c r="U277" s="162">
        <f>IF(S277="nio",0,IF(S277&gt;0,VLOOKUP(G277,'3-Productie normen'!A:K,VLOOKUP(S277,'3-Productie normen'!L:N,3,FALSE),FALSE)))</f>
        <v>0</v>
      </c>
      <c r="V277" s="162">
        <f>VLOOKUP(G277,'3-Productie normen'!A:K,10,FALSE)</f>
        <v>16013.110036668773</v>
      </c>
      <c r="W277" s="163">
        <f>VLOOKUP(G277,'3-Productie normen'!A:K,11,FALSE)</f>
        <v>0</v>
      </c>
      <c r="X277" s="163"/>
      <c r="Z277" s="129">
        <f t="shared" si="24"/>
        <v>4480</v>
      </c>
    </row>
    <row r="278" spans="1:26" ht="14.1" customHeight="1">
      <c r="A278" s="144">
        <v>284</v>
      </c>
      <c r="B278" s="485" t="s">
        <v>259</v>
      </c>
      <c r="C278" s="490" t="s">
        <v>742</v>
      </c>
      <c r="D278" s="528" t="s">
        <v>98</v>
      </c>
      <c r="E278" s="707" t="s">
        <v>303</v>
      </c>
      <c r="F278" s="534" t="s">
        <v>302</v>
      </c>
      <c r="G278" s="303" t="s">
        <v>18</v>
      </c>
      <c r="H278" s="534" t="s">
        <v>954</v>
      </c>
      <c r="I278" s="582" t="str">
        <f>VLOOKUP(H278,'9a-Typen vloeren'!$A$10:$B$40,2,FALSE)</f>
        <v>zie kwaliteitsontwerp</v>
      </c>
      <c r="J278" s="588">
        <v>5.5999999046325684</v>
      </c>
      <c r="K278" s="433">
        <f t="shared" si="20"/>
        <v>0</v>
      </c>
      <c r="L278" s="433">
        <f t="shared" si="21"/>
        <v>0</v>
      </c>
      <c r="M278" s="433">
        <f t="shared" si="22"/>
        <v>0</v>
      </c>
      <c r="N278" s="672"/>
      <c r="O278" s="729">
        <f>IF(N278="",0,N278*K278/'9b-Vloeronderhoud'!$F$4)</f>
        <v>0</v>
      </c>
      <c r="P278" s="672"/>
      <c r="Q278" s="729" t="e">
        <f>IF(O278="",0,P278*L278/'9b-Vloeronderhoud'!$F$6)</f>
        <v>#DIV/0!</v>
      </c>
      <c r="R278" s="449">
        <v>1</v>
      </c>
      <c r="S278" s="672">
        <v>190</v>
      </c>
      <c r="T278" s="161" t="e">
        <f t="shared" si="23"/>
        <v>#DIV/0!</v>
      </c>
      <c r="U278" s="162">
        <f>IF(S278="nio",0,IF(S278&gt;0,VLOOKUP(G278,'3-Productie normen'!A:K,VLOOKUP(S278,'3-Productie normen'!L:N,3,FALSE),FALSE)))</f>
        <v>0</v>
      </c>
      <c r="V278" s="162">
        <f>VLOOKUP(G278,'3-Productie normen'!A:K,10,FALSE)</f>
        <v>1859.5880019121171</v>
      </c>
      <c r="W278" s="163">
        <f>VLOOKUP(G278,'3-Productie normen'!A:K,11,FALSE)</f>
        <v>0</v>
      </c>
      <c r="X278" s="163"/>
      <c r="Z278" s="129">
        <f t="shared" si="24"/>
        <v>1063.999981880188</v>
      </c>
    </row>
    <row r="279" spans="1:26" ht="14.1" customHeight="1">
      <c r="A279" s="144">
        <v>285</v>
      </c>
      <c r="B279" s="485" t="s">
        <v>259</v>
      </c>
      <c r="C279" s="490" t="s">
        <v>742</v>
      </c>
      <c r="D279" s="528" t="s">
        <v>98</v>
      </c>
      <c r="E279" s="707" t="s">
        <v>305</v>
      </c>
      <c r="F279" s="534" t="s">
        <v>404</v>
      </c>
      <c r="G279" s="303" t="s">
        <v>286</v>
      </c>
      <c r="H279" s="534" t="s">
        <v>101</v>
      </c>
      <c r="I279" s="582" t="str">
        <f>VLOOKUP(H279,'9a-Typen vloeren'!$A$10:$B$40,2,FALSE)</f>
        <v>Schrobben</v>
      </c>
      <c r="J279" s="588">
        <v>3.4000000953674316</v>
      </c>
      <c r="K279" s="433">
        <f t="shared" si="20"/>
        <v>0</v>
      </c>
      <c r="L279" s="433">
        <f t="shared" si="21"/>
        <v>3.4000000953674316</v>
      </c>
      <c r="M279" s="433">
        <f t="shared" si="22"/>
        <v>0</v>
      </c>
      <c r="N279" s="672"/>
      <c r="O279" s="729">
        <f>IF(N279="",0,N279*K279/'9b-Vloeronderhoud'!$F$4)</f>
        <v>0</v>
      </c>
      <c r="P279" s="672">
        <v>3</v>
      </c>
      <c r="Q279" s="729" t="e">
        <f>IF(O279="",0,P279*L279/'9b-Vloeronderhoud'!$F$6)</f>
        <v>#DIV/0!</v>
      </c>
      <c r="R279" s="449">
        <v>1</v>
      </c>
      <c r="S279" s="672">
        <v>120</v>
      </c>
      <c r="T279" s="161" t="e">
        <f t="shared" si="23"/>
        <v>#DIV/0!</v>
      </c>
      <c r="U279" s="162">
        <f>IF(S279="nio",0,IF(S279&gt;0,VLOOKUP(G279,'3-Productie normen'!A:K,VLOOKUP(S279,'3-Productie normen'!L:N,3,FALSE),FALSE)))</f>
        <v>0</v>
      </c>
      <c r="V279" s="162">
        <f>VLOOKUP(G279,'3-Productie normen'!A:K,10,FALSE)</f>
        <v>6152.9500017547598</v>
      </c>
      <c r="W279" s="163">
        <f>VLOOKUP(G279,'3-Productie normen'!A:K,11,FALSE)</f>
        <v>0</v>
      </c>
      <c r="X279" s="163"/>
      <c r="Z279" s="129">
        <f t="shared" si="24"/>
        <v>408.0000114440918</v>
      </c>
    </row>
    <row r="280" spans="1:26" ht="14.1" customHeight="1">
      <c r="A280" s="144">
        <v>286</v>
      </c>
      <c r="B280" s="485" t="s">
        <v>259</v>
      </c>
      <c r="C280" s="490" t="s">
        <v>742</v>
      </c>
      <c r="D280" s="528" t="s">
        <v>98</v>
      </c>
      <c r="E280" s="707" t="s">
        <v>306</v>
      </c>
      <c r="F280" s="534" t="s">
        <v>302</v>
      </c>
      <c r="G280" s="122" t="s">
        <v>18</v>
      </c>
      <c r="H280" s="534" t="s">
        <v>954</v>
      </c>
      <c r="I280" s="582" t="str">
        <f>VLOOKUP(H280,'9a-Typen vloeren'!$A$10:$B$40,2,FALSE)</f>
        <v>zie kwaliteitsontwerp</v>
      </c>
      <c r="J280" s="588">
        <v>1.2000000476837158</v>
      </c>
      <c r="K280" s="433">
        <f t="shared" si="20"/>
        <v>0</v>
      </c>
      <c r="L280" s="433">
        <f t="shared" si="21"/>
        <v>0</v>
      </c>
      <c r="M280" s="433">
        <f t="shared" si="22"/>
        <v>0</v>
      </c>
      <c r="N280" s="672"/>
      <c r="O280" s="729">
        <f>IF(N280="",0,N280*K280/'9b-Vloeronderhoud'!$F$4)</f>
        <v>0</v>
      </c>
      <c r="P280" s="672"/>
      <c r="Q280" s="729" t="e">
        <f>IF(O280="",0,P280*L280/'9b-Vloeronderhoud'!$F$6)</f>
        <v>#DIV/0!</v>
      </c>
      <c r="R280" s="449">
        <v>1</v>
      </c>
      <c r="S280" s="672">
        <v>190</v>
      </c>
      <c r="T280" s="161" t="e">
        <f t="shared" si="23"/>
        <v>#DIV/0!</v>
      </c>
      <c r="U280" s="162">
        <f>IF(S280="nio",0,IF(S280&gt;0,VLOOKUP(G280,'3-Productie normen'!A:K,VLOOKUP(S280,'3-Productie normen'!L:N,3,FALSE),FALSE)))</f>
        <v>0</v>
      </c>
      <c r="V280" s="162">
        <f>VLOOKUP(G280,'3-Productie normen'!A:K,10,FALSE)</f>
        <v>1859.5880019121171</v>
      </c>
      <c r="W280" s="163">
        <f>VLOOKUP(G280,'3-Productie normen'!A:K,11,FALSE)</f>
        <v>0</v>
      </c>
      <c r="X280" s="163"/>
      <c r="Z280" s="129">
        <f t="shared" si="24"/>
        <v>228.00000905990601</v>
      </c>
    </row>
    <row r="281" spans="1:26" ht="14.1" customHeight="1">
      <c r="A281" s="144">
        <v>287</v>
      </c>
      <c r="B281" s="485" t="s">
        <v>259</v>
      </c>
      <c r="C281" s="490" t="s">
        <v>742</v>
      </c>
      <c r="D281" s="528" t="s">
        <v>98</v>
      </c>
      <c r="E281" s="707" t="s">
        <v>307</v>
      </c>
      <c r="F281" s="534" t="s">
        <v>350</v>
      </c>
      <c r="G281" s="303" t="s">
        <v>299</v>
      </c>
      <c r="H281" s="303" t="s">
        <v>332</v>
      </c>
      <c r="I281" s="582" t="str">
        <f>VLOOKUP(H281,'9a-Typen vloeren'!$A$10:$B$40,2,FALSE)</f>
        <v>Sproei/extraheren</v>
      </c>
      <c r="J281" s="588">
        <v>21.100000381469727</v>
      </c>
      <c r="K281" s="433">
        <f t="shared" si="20"/>
        <v>0</v>
      </c>
      <c r="L281" s="433">
        <f t="shared" si="21"/>
        <v>0</v>
      </c>
      <c r="M281" s="433">
        <f t="shared" si="22"/>
        <v>21.100000381469727</v>
      </c>
      <c r="N281" s="672"/>
      <c r="O281" s="729">
        <f>IF(N281="",0,N281*K281/'9b-Vloeronderhoud'!$F$4)</f>
        <v>0</v>
      </c>
      <c r="P281" s="672"/>
      <c r="Q281" s="729" t="e">
        <f>IF(O281="",0,P281*L281/'9b-Vloeronderhoud'!$F$6)</f>
        <v>#DIV/0!</v>
      </c>
      <c r="R281" s="449">
        <v>1</v>
      </c>
      <c r="S281" s="672">
        <v>40</v>
      </c>
      <c r="T281" s="161" t="e">
        <f t="shared" si="23"/>
        <v>#DIV/0!</v>
      </c>
      <c r="U281" s="162">
        <f>IF(S281="nio",0,IF(S281&gt;0,VLOOKUP(G281,'3-Productie normen'!A:K,VLOOKUP(S281,'3-Productie normen'!L:N,3,FALSE),FALSE)))</f>
        <v>0</v>
      </c>
      <c r="V281" s="162">
        <f>VLOOKUP(G281,'3-Productie normen'!A:K,10,FALSE)</f>
        <v>1107.9100014114381</v>
      </c>
      <c r="W281" s="163">
        <f>VLOOKUP(G281,'3-Productie normen'!A:K,11,FALSE)</f>
        <v>0</v>
      </c>
      <c r="X281" s="163"/>
      <c r="Z281" s="129">
        <f t="shared" si="24"/>
        <v>844.00001525878906</v>
      </c>
    </row>
    <row r="282" spans="1:26" ht="14.1" customHeight="1">
      <c r="A282" s="144">
        <v>288</v>
      </c>
      <c r="B282" s="485" t="s">
        <v>259</v>
      </c>
      <c r="C282" s="490" t="s">
        <v>742</v>
      </c>
      <c r="D282" s="528" t="s">
        <v>98</v>
      </c>
      <c r="E282" s="707" t="s">
        <v>309</v>
      </c>
      <c r="F282" s="534" t="s">
        <v>313</v>
      </c>
      <c r="G282" s="460" t="s">
        <v>881</v>
      </c>
      <c r="H282" s="534" t="s">
        <v>101</v>
      </c>
      <c r="I282" s="582" t="str">
        <f>VLOOKUP(H282,'9a-Typen vloeren'!$A$10:$B$40,2,FALSE)</f>
        <v>Schrobben</v>
      </c>
      <c r="J282" s="588">
        <v>1.2000000476837158</v>
      </c>
      <c r="K282" s="433">
        <f t="shared" si="20"/>
        <v>0</v>
      </c>
      <c r="L282" s="433">
        <f t="shared" si="21"/>
        <v>0</v>
      </c>
      <c r="M282" s="433">
        <f t="shared" si="22"/>
        <v>0</v>
      </c>
      <c r="N282" s="672"/>
      <c r="O282" s="729">
        <f>IF(N282="",0,N282*K282/'9b-Vloeronderhoud'!$F$4)</f>
        <v>0</v>
      </c>
      <c r="P282" s="672"/>
      <c r="Q282" s="729" t="e">
        <f>IF(O282="",0,P282*L282/'9b-Vloeronderhoud'!$F$6)</f>
        <v>#DIV/0!</v>
      </c>
      <c r="R282" s="449">
        <v>1</v>
      </c>
      <c r="S282" s="672" t="s">
        <v>179</v>
      </c>
      <c r="T282" s="161">
        <f t="shared" si="23"/>
        <v>0</v>
      </c>
      <c r="U282" s="162">
        <f>IF(S282="nio",0,IF(S282&gt;0,VLOOKUP(G282,'3-Productie normen'!A:K,VLOOKUP(S282,'3-Productie normen'!L:N,3,FALSE),FALSE)))</f>
        <v>0</v>
      </c>
      <c r="V282" s="162">
        <f>VLOOKUP(G282,'3-Productie normen'!A:K,10,FALSE)</f>
        <v>5262.809993648526</v>
      </c>
      <c r="W282" s="163">
        <f>VLOOKUP(G282,'3-Productie normen'!A:K,11,FALSE)</f>
        <v>0</v>
      </c>
      <c r="X282" s="163"/>
      <c r="Z282" s="129">
        <f t="shared" si="24"/>
        <v>0</v>
      </c>
    </row>
    <row r="283" spans="1:26" ht="14.1" customHeight="1">
      <c r="A283" s="144">
        <v>289</v>
      </c>
      <c r="B283" s="485" t="s">
        <v>259</v>
      </c>
      <c r="C283" s="490" t="s">
        <v>742</v>
      </c>
      <c r="D283" s="528" t="s">
        <v>98</v>
      </c>
      <c r="E283" s="707" t="s">
        <v>311</v>
      </c>
      <c r="F283" s="534" t="s">
        <v>404</v>
      </c>
      <c r="G283" s="4" t="s">
        <v>286</v>
      </c>
      <c r="H283" s="303" t="s">
        <v>332</v>
      </c>
      <c r="I283" s="582" t="str">
        <f>VLOOKUP(H283,'9a-Typen vloeren'!$A$10:$B$40,2,FALSE)</f>
        <v>Sproei/extraheren</v>
      </c>
      <c r="J283" s="588">
        <v>2.2000000476837158</v>
      </c>
      <c r="K283" s="433">
        <f t="shared" si="20"/>
        <v>0</v>
      </c>
      <c r="L283" s="433">
        <f t="shared" si="21"/>
        <v>0</v>
      </c>
      <c r="M283" s="433">
        <f t="shared" si="22"/>
        <v>2.2000000476837158</v>
      </c>
      <c r="N283" s="672"/>
      <c r="O283" s="729">
        <f>IF(N283="",0,N283*K283/'9b-Vloeronderhoud'!$F$4)</f>
        <v>0</v>
      </c>
      <c r="P283" s="672"/>
      <c r="Q283" s="729" t="e">
        <f>IF(O283="",0,P283*L283/'9b-Vloeronderhoud'!$F$6)</f>
        <v>#DIV/0!</v>
      </c>
      <c r="R283" s="449">
        <v>1</v>
      </c>
      <c r="S283" s="672">
        <v>120</v>
      </c>
      <c r="T283" s="161" t="e">
        <f t="shared" si="23"/>
        <v>#DIV/0!</v>
      </c>
      <c r="U283" s="162">
        <f>IF(S283="nio",0,IF(S283&gt;0,VLOOKUP(G283,'3-Productie normen'!A:K,VLOOKUP(S283,'3-Productie normen'!L:N,3,FALSE),FALSE)))</f>
        <v>0</v>
      </c>
      <c r="V283" s="162">
        <f>VLOOKUP(G283,'3-Productie normen'!A:K,10,FALSE)</f>
        <v>6152.9500017547598</v>
      </c>
      <c r="W283" s="163">
        <f>VLOOKUP(G283,'3-Productie normen'!A:K,11,FALSE)</f>
        <v>0</v>
      </c>
      <c r="X283" s="163"/>
      <c r="Z283" s="129">
        <f t="shared" si="24"/>
        <v>264.0000057220459</v>
      </c>
    </row>
    <row r="284" spans="1:26" ht="14.1" customHeight="1">
      <c r="A284" s="144">
        <v>290</v>
      </c>
      <c r="B284" s="485" t="s">
        <v>259</v>
      </c>
      <c r="C284" s="490" t="s">
        <v>742</v>
      </c>
      <c r="D284" s="528" t="s">
        <v>98</v>
      </c>
      <c r="E284" s="707" t="s">
        <v>312</v>
      </c>
      <c r="F284" s="534" t="s">
        <v>297</v>
      </c>
      <c r="G284" s="546" t="s">
        <v>189</v>
      </c>
      <c r="H284" s="303" t="s">
        <v>332</v>
      </c>
      <c r="I284" s="582" t="str">
        <f>VLOOKUP(H284,'9a-Typen vloeren'!$A$10:$B$40,2,FALSE)</f>
        <v>Sproei/extraheren</v>
      </c>
      <c r="J284" s="588">
        <v>11.199999809265137</v>
      </c>
      <c r="K284" s="433">
        <f t="shared" si="20"/>
        <v>0</v>
      </c>
      <c r="L284" s="433">
        <f t="shared" si="21"/>
        <v>0</v>
      </c>
      <c r="M284" s="433">
        <f t="shared" si="22"/>
        <v>11.199999809265137</v>
      </c>
      <c r="N284" s="672"/>
      <c r="O284" s="729">
        <f>IF(N284="",0,N284*K284/'9b-Vloeronderhoud'!$F$4)</f>
        <v>0</v>
      </c>
      <c r="P284" s="672"/>
      <c r="Q284" s="729" t="e">
        <f>IF(O284="",0,P284*L284/'9b-Vloeronderhoud'!$F$6)</f>
        <v>#DIV/0!</v>
      </c>
      <c r="R284" s="449">
        <v>1</v>
      </c>
      <c r="S284" s="672">
        <v>40</v>
      </c>
      <c r="T284" s="161" t="e">
        <f t="shared" si="23"/>
        <v>#DIV/0!</v>
      </c>
      <c r="U284" s="162">
        <f>IF(S284="nio",0,IF(S284&gt;0,VLOOKUP(G284,'3-Productie normen'!A:K,VLOOKUP(S284,'3-Productie normen'!L:N,3,FALSE),FALSE)))</f>
        <v>0</v>
      </c>
      <c r="V284" s="162">
        <f>VLOOKUP(G284,'3-Productie normen'!A:K,10,FALSE)</f>
        <v>1494.1700078582762</v>
      </c>
      <c r="W284" s="163">
        <f>VLOOKUP(G284,'3-Productie normen'!A:K,11,FALSE)</f>
        <v>0</v>
      </c>
      <c r="X284" s="163"/>
      <c r="Z284" s="129">
        <f t="shared" si="24"/>
        <v>447.99999237060547</v>
      </c>
    </row>
    <row r="285" spans="1:26" ht="14.1" customHeight="1">
      <c r="A285" s="144">
        <v>291</v>
      </c>
      <c r="B285" s="485" t="s">
        <v>259</v>
      </c>
      <c r="C285" s="490" t="s">
        <v>742</v>
      </c>
      <c r="D285" s="528" t="s">
        <v>98</v>
      </c>
      <c r="E285" s="707" t="s">
        <v>314</v>
      </c>
      <c r="F285" s="534" t="s">
        <v>284</v>
      </c>
      <c r="G285" s="126" t="s">
        <v>99</v>
      </c>
      <c r="H285" s="303" t="s">
        <v>332</v>
      </c>
      <c r="I285" s="582" t="str">
        <f>VLOOKUP(H285,'9a-Typen vloeren'!$A$10:$B$40,2,FALSE)</f>
        <v>Sproei/extraheren</v>
      </c>
      <c r="J285" s="588">
        <v>4</v>
      </c>
      <c r="K285" s="433">
        <f t="shared" si="20"/>
        <v>0</v>
      </c>
      <c r="L285" s="433">
        <f t="shared" si="21"/>
        <v>0</v>
      </c>
      <c r="M285" s="433">
        <f t="shared" si="22"/>
        <v>4</v>
      </c>
      <c r="N285" s="672"/>
      <c r="O285" s="729">
        <f>IF(N285="",0,N285*K285/'9b-Vloeronderhoud'!$F$4)</f>
        <v>0</v>
      </c>
      <c r="P285" s="672"/>
      <c r="Q285" s="729" t="e">
        <f>IF(O285="",0,P285*L285/'9b-Vloeronderhoud'!$F$6)</f>
        <v>#DIV/0!</v>
      </c>
      <c r="R285" s="449">
        <v>1</v>
      </c>
      <c r="S285" s="672">
        <v>190</v>
      </c>
      <c r="T285" s="161" t="e">
        <f t="shared" si="23"/>
        <v>#DIV/0!</v>
      </c>
      <c r="U285" s="162">
        <f>IF(S285="nio",0,IF(S285&gt;0,VLOOKUP(G285,'3-Productie normen'!A:K,VLOOKUP(S285,'3-Productie normen'!L:N,3,FALSE),FALSE)))</f>
        <v>0</v>
      </c>
      <c r="V285" s="162">
        <f>VLOOKUP(G285,'3-Productie normen'!A:K,10,FALSE)</f>
        <v>726.97999910354622</v>
      </c>
      <c r="W285" s="163">
        <f>VLOOKUP(G285,'3-Productie normen'!A:K,11,FALSE)</f>
        <v>0</v>
      </c>
      <c r="X285" s="163"/>
      <c r="Z285" s="129">
        <f t="shared" si="24"/>
        <v>760</v>
      </c>
    </row>
    <row r="286" spans="1:26" ht="14.1" customHeight="1">
      <c r="A286" s="144">
        <v>292</v>
      </c>
      <c r="B286" s="485" t="s">
        <v>259</v>
      </c>
      <c r="C286" s="490" t="s">
        <v>742</v>
      </c>
      <c r="D286" s="528" t="s">
        <v>98</v>
      </c>
      <c r="E286" s="707" t="s">
        <v>315</v>
      </c>
      <c r="F286" s="534" t="s">
        <v>870</v>
      </c>
      <c r="G286" s="122" t="s">
        <v>18</v>
      </c>
      <c r="H286" s="534" t="s">
        <v>954</v>
      </c>
      <c r="I286" s="582" t="str">
        <f>VLOOKUP(H286,'9a-Typen vloeren'!$A$10:$B$40,2,FALSE)</f>
        <v>zie kwaliteitsontwerp</v>
      </c>
      <c r="J286" s="588">
        <v>5.5999999046325684</v>
      </c>
      <c r="K286" s="433">
        <f t="shared" si="20"/>
        <v>0</v>
      </c>
      <c r="L286" s="433">
        <f t="shared" si="21"/>
        <v>0</v>
      </c>
      <c r="M286" s="433">
        <f t="shared" si="22"/>
        <v>0</v>
      </c>
      <c r="N286" s="672"/>
      <c r="O286" s="729">
        <f>IF(N286="",0,N286*K286/'9b-Vloeronderhoud'!$F$4)</f>
        <v>0</v>
      </c>
      <c r="P286" s="672"/>
      <c r="Q286" s="729" t="e">
        <f>IF(O286="",0,P286*L286/'9b-Vloeronderhoud'!$F$6)</f>
        <v>#DIV/0!</v>
      </c>
      <c r="R286" s="449">
        <v>1</v>
      </c>
      <c r="S286" s="672">
        <v>190</v>
      </c>
      <c r="T286" s="161" t="e">
        <f t="shared" si="23"/>
        <v>#DIV/0!</v>
      </c>
      <c r="U286" s="162">
        <f>IF(S286="nio",0,IF(S286&gt;0,VLOOKUP(G286,'3-Productie normen'!A:K,VLOOKUP(S286,'3-Productie normen'!L:N,3,FALSE),FALSE)))</f>
        <v>0</v>
      </c>
      <c r="V286" s="162">
        <f>VLOOKUP(G286,'3-Productie normen'!A:K,10,FALSE)</f>
        <v>1859.5880019121171</v>
      </c>
      <c r="W286" s="163">
        <f>VLOOKUP(G286,'3-Productie normen'!A:K,11,FALSE)</f>
        <v>0</v>
      </c>
      <c r="X286" s="163"/>
      <c r="Z286" s="129">
        <f t="shared" si="24"/>
        <v>1063.999981880188</v>
      </c>
    </row>
    <row r="287" spans="1:26" ht="14.1" customHeight="1">
      <c r="A287" s="144">
        <v>293</v>
      </c>
      <c r="B287" s="485" t="s">
        <v>259</v>
      </c>
      <c r="C287" s="490" t="s">
        <v>742</v>
      </c>
      <c r="D287" s="528" t="s">
        <v>98</v>
      </c>
      <c r="E287" s="707" t="s">
        <v>317</v>
      </c>
      <c r="F287" s="534" t="s">
        <v>869</v>
      </c>
      <c r="G287" s="546" t="s">
        <v>421</v>
      </c>
      <c r="H287" s="534" t="s">
        <v>100</v>
      </c>
      <c r="I287" s="582" t="str">
        <f>VLOOKUP(H287,'9a-Typen vloeren'!$A$10:$B$40,2,FALSE)</f>
        <v>Sprayen/ conserveren</v>
      </c>
      <c r="J287" s="588">
        <v>56.450000762939453</v>
      </c>
      <c r="K287" s="433">
        <f t="shared" si="20"/>
        <v>56.450000762939453</v>
      </c>
      <c r="L287" s="433">
        <f t="shared" si="21"/>
        <v>0</v>
      </c>
      <c r="M287" s="433">
        <f t="shared" si="22"/>
        <v>0</v>
      </c>
      <c r="N287" s="672"/>
      <c r="O287" s="729">
        <f>IF(N287="",0,N287*K287/'9b-Vloeronderhoud'!$F$4)</f>
        <v>0</v>
      </c>
      <c r="P287" s="672"/>
      <c r="Q287" s="729" t="e">
        <f>IF(O287="",0,P287*L287/'9b-Vloeronderhoud'!$F$6)</f>
        <v>#DIV/0!</v>
      </c>
      <c r="R287" s="449">
        <v>1</v>
      </c>
      <c r="S287" s="672">
        <v>40</v>
      </c>
      <c r="T287" s="161" t="e">
        <f t="shared" si="23"/>
        <v>#DIV/0!</v>
      </c>
      <c r="U287" s="162">
        <f>IF(S287="nio",0,IF(S287&gt;0,VLOOKUP(G287,'3-Productie normen'!A:K,VLOOKUP(S287,'3-Productie normen'!L:N,3,FALSE),FALSE)))</f>
        <v>0</v>
      </c>
      <c r="V287" s="162">
        <f>VLOOKUP(G287,'3-Productie normen'!A:K,10,FALSE)</f>
        <v>865.11000061035156</v>
      </c>
      <c r="W287" s="163">
        <f>VLOOKUP(G287,'3-Productie normen'!A:K,11,FALSE)</f>
        <v>0</v>
      </c>
      <c r="X287" s="163"/>
      <c r="Z287" s="129">
        <f t="shared" si="24"/>
        <v>2258.0000305175781</v>
      </c>
    </row>
    <row r="288" spans="1:26" ht="14.1" customHeight="1">
      <c r="A288" s="144">
        <v>294</v>
      </c>
      <c r="B288" s="485" t="s">
        <v>259</v>
      </c>
      <c r="C288" s="490" t="s">
        <v>742</v>
      </c>
      <c r="D288" s="528" t="s">
        <v>98</v>
      </c>
      <c r="E288" s="707" t="s">
        <v>318</v>
      </c>
      <c r="F288" s="534" t="s">
        <v>380</v>
      </c>
      <c r="G288" s="122" t="s">
        <v>862</v>
      </c>
      <c r="H288" s="534" t="s">
        <v>100</v>
      </c>
      <c r="I288" s="582" t="str">
        <f>VLOOKUP(H288,'9a-Typen vloeren'!$A$10:$B$40,2,FALSE)</f>
        <v>Sprayen/ conserveren</v>
      </c>
      <c r="J288" s="588">
        <v>46.900001525878906</v>
      </c>
      <c r="K288" s="433">
        <f t="shared" si="20"/>
        <v>46.900001525878906</v>
      </c>
      <c r="L288" s="433">
        <f t="shared" si="21"/>
        <v>0</v>
      </c>
      <c r="M288" s="433">
        <f t="shared" si="22"/>
        <v>0</v>
      </c>
      <c r="N288" s="672">
        <v>2</v>
      </c>
      <c r="O288" s="729" t="e">
        <f>IF(N288="",0,N288*K288/'9b-Vloeronderhoud'!$F$4)</f>
        <v>#DIV/0!</v>
      </c>
      <c r="P288" s="672"/>
      <c r="Q288" s="729" t="e">
        <f>IF(O288="",0,P288*L288/'9b-Vloeronderhoud'!$F$6)</f>
        <v>#DIV/0!</v>
      </c>
      <c r="R288" s="449">
        <v>1</v>
      </c>
      <c r="S288" s="672">
        <v>120</v>
      </c>
      <c r="T288" s="161" t="e">
        <f t="shared" si="23"/>
        <v>#DIV/0!</v>
      </c>
      <c r="U288" s="162">
        <f>IF(S288="nio",0,IF(S288&gt;0,VLOOKUP(G288,'3-Productie normen'!A:K,VLOOKUP(S288,'3-Productie normen'!L:N,3,FALSE),FALSE)))</f>
        <v>0</v>
      </c>
      <c r="V288" s="162">
        <f>VLOOKUP(G288,'3-Productie normen'!A:K,10,FALSE)</f>
        <v>4374.9900215911857</v>
      </c>
      <c r="W288" s="163">
        <f>VLOOKUP(G288,'3-Productie normen'!A:K,11,FALSE)</f>
        <v>0</v>
      </c>
      <c r="X288" s="163"/>
      <c r="Z288" s="129">
        <f t="shared" si="24"/>
        <v>5628.0001831054688</v>
      </c>
    </row>
    <row r="289" spans="1:26" ht="14.1" customHeight="1">
      <c r="A289" s="144">
        <v>295</v>
      </c>
      <c r="B289" s="485" t="s">
        <v>259</v>
      </c>
      <c r="C289" s="490" t="s">
        <v>742</v>
      </c>
      <c r="D289" s="528" t="s">
        <v>98</v>
      </c>
      <c r="E289" s="707" t="s">
        <v>657</v>
      </c>
      <c r="F289" s="534" t="s">
        <v>282</v>
      </c>
      <c r="G289" s="460" t="s">
        <v>881</v>
      </c>
      <c r="H289" s="534" t="s">
        <v>100</v>
      </c>
      <c r="I289" s="582" t="str">
        <f>VLOOKUP(H289,'9a-Typen vloeren'!$A$10:$B$40,2,FALSE)</f>
        <v>Sprayen/ conserveren</v>
      </c>
      <c r="J289" s="588">
        <v>5.75</v>
      </c>
      <c r="K289" s="433">
        <f t="shared" si="20"/>
        <v>0</v>
      </c>
      <c r="L289" s="433">
        <f t="shared" si="21"/>
        <v>0</v>
      </c>
      <c r="M289" s="433">
        <f t="shared" si="22"/>
        <v>0</v>
      </c>
      <c r="N289" s="672"/>
      <c r="O289" s="729">
        <f>IF(N289="",0,N289*K289/'9b-Vloeronderhoud'!$F$4)</f>
        <v>0</v>
      </c>
      <c r="P289" s="672"/>
      <c r="Q289" s="729" t="e">
        <f>IF(O289="",0,P289*L289/'9b-Vloeronderhoud'!$F$6)</f>
        <v>#DIV/0!</v>
      </c>
      <c r="R289" s="449">
        <v>1</v>
      </c>
      <c r="S289" s="672" t="s">
        <v>179</v>
      </c>
      <c r="T289" s="161">
        <f t="shared" si="23"/>
        <v>0</v>
      </c>
      <c r="U289" s="162">
        <f>IF(S289="nio",0,IF(S289&gt;0,VLOOKUP(G289,'3-Productie normen'!A:K,VLOOKUP(S289,'3-Productie normen'!L:N,3,FALSE),FALSE)))</f>
        <v>0</v>
      </c>
      <c r="V289" s="162">
        <f>VLOOKUP(G289,'3-Productie normen'!A:K,10,FALSE)</f>
        <v>5262.809993648526</v>
      </c>
      <c r="W289" s="163">
        <f>VLOOKUP(G289,'3-Productie normen'!A:K,11,FALSE)</f>
        <v>0</v>
      </c>
      <c r="X289" s="163"/>
      <c r="Z289" s="129">
        <f t="shared" si="24"/>
        <v>0</v>
      </c>
    </row>
    <row r="290" spans="1:26" ht="14.1" customHeight="1">
      <c r="A290" s="144">
        <v>296</v>
      </c>
      <c r="B290" s="485" t="s">
        <v>259</v>
      </c>
      <c r="C290" s="490" t="s">
        <v>742</v>
      </c>
      <c r="D290" s="528" t="s">
        <v>98</v>
      </c>
      <c r="E290" s="707" t="s">
        <v>319</v>
      </c>
      <c r="F290" s="534" t="s">
        <v>282</v>
      </c>
      <c r="G290" s="460" t="s">
        <v>881</v>
      </c>
      <c r="H290" s="534" t="s">
        <v>375</v>
      </c>
      <c r="I290" s="582" t="str">
        <f>VLOOKUP(H290,'9a-Typen vloeren'!$A$10:$B$40,2,FALSE)</f>
        <v>n.v.t.</v>
      </c>
      <c r="J290" s="588">
        <v>4.6500000953674316</v>
      </c>
      <c r="K290" s="433">
        <f t="shared" si="20"/>
        <v>0</v>
      </c>
      <c r="L290" s="433">
        <f t="shared" si="21"/>
        <v>0</v>
      </c>
      <c r="M290" s="433">
        <f t="shared" si="22"/>
        <v>0</v>
      </c>
      <c r="N290" s="672"/>
      <c r="O290" s="729">
        <f>IF(N290="",0,N290*K290/'9b-Vloeronderhoud'!$F$4)</f>
        <v>0</v>
      </c>
      <c r="P290" s="672"/>
      <c r="Q290" s="729" t="e">
        <f>IF(O290="",0,P290*L290/'9b-Vloeronderhoud'!$F$6)</f>
        <v>#DIV/0!</v>
      </c>
      <c r="R290" s="449">
        <v>1</v>
      </c>
      <c r="S290" s="672" t="s">
        <v>179</v>
      </c>
      <c r="T290" s="161">
        <f t="shared" si="23"/>
        <v>0</v>
      </c>
      <c r="U290" s="162">
        <f>IF(S290="nio",0,IF(S290&gt;0,VLOOKUP(G290,'3-Productie normen'!A:K,VLOOKUP(S290,'3-Productie normen'!L:N,3,FALSE),FALSE)))</f>
        <v>0</v>
      </c>
      <c r="V290" s="162">
        <f>VLOOKUP(G290,'3-Productie normen'!A:K,10,FALSE)</f>
        <v>5262.809993648526</v>
      </c>
      <c r="W290" s="163">
        <f>VLOOKUP(G290,'3-Productie normen'!A:K,11,FALSE)</f>
        <v>0</v>
      </c>
      <c r="X290" s="163"/>
      <c r="Z290" s="129">
        <f t="shared" si="24"/>
        <v>0</v>
      </c>
    </row>
    <row r="291" spans="1:26" ht="14.1" customHeight="1">
      <c r="A291" s="144">
        <v>297</v>
      </c>
      <c r="B291" s="485" t="s">
        <v>259</v>
      </c>
      <c r="C291" s="490" t="s">
        <v>742</v>
      </c>
      <c r="D291" s="528" t="s">
        <v>98</v>
      </c>
      <c r="E291" s="707" t="s">
        <v>320</v>
      </c>
      <c r="F291" s="534" t="s">
        <v>99</v>
      </c>
      <c r="G291" s="122" t="s">
        <v>99</v>
      </c>
      <c r="H291" s="303" t="s">
        <v>332</v>
      </c>
      <c r="I291" s="582" t="str">
        <f>VLOOKUP(H291,'9a-Typen vloeren'!$A$10:$B$40,2,FALSE)</f>
        <v>Sproei/extraheren</v>
      </c>
      <c r="J291" s="588">
        <v>4</v>
      </c>
      <c r="K291" s="433">
        <f t="shared" si="20"/>
        <v>0</v>
      </c>
      <c r="L291" s="433">
        <f t="shared" si="21"/>
        <v>0</v>
      </c>
      <c r="M291" s="433">
        <f t="shared" si="22"/>
        <v>4</v>
      </c>
      <c r="N291" s="672"/>
      <c r="O291" s="729">
        <f>IF(N291="",0,N291*K291/'9b-Vloeronderhoud'!$F$4)</f>
        <v>0</v>
      </c>
      <c r="P291" s="672"/>
      <c r="Q291" s="729" t="e">
        <f>IF(O291="",0,P291*L291/'9b-Vloeronderhoud'!$F$6)</f>
        <v>#DIV/0!</v>
      </c>
      <c r="R291" s="449">
        <v>1</v>
      </c>
      <c r="S291" s="672">
        <v>190</v>
      </c>
      <c r="T291" s="161" t="e">
        <f t="shared" si="23"/>
        <v>#DIV/0!</v>
      </c>
      <c r="U291" s="162">
        <f>IF(S291="nio",0,IF(S291&gt;0,VLOOKUP(G291,'3-Productie normen'!A:K,VLOOKUP(S291,'3-Productie normen'!L:N,3,FALSE),FALSE)))</f>
        <v>0</v>
      </c>
      <c r="V291" s="162">
        <f>VLOOKUP(G291,'3-Productie normen'!A:K,10,FALSE)</f>
        <v>726.97999910354622</v>
      </c>
      <c r="W291" s="163">
        <f>VLOOKUP(G291,'3-Productie normen'!A:K,11,FALSE)</f>
        <v>0</v>
      </c>
      <c r="X291" s="163"/>
      <c r="Z291" s="129">
        <f t="shared" si="24"/>
        <v>760</v>
      </c>
    </row>
    <row r="292" spans="1:26" ht="14.1" customHeight="1">
      <c r="A292" s="144">
        <v>298</v>
      </c>
      <c r="B292" s="160" t="s">
        <v>259</v>
      </c>
      <c r="C292" s="490" t="s">
        <v>742</v>
      </c>
      <c r="D292" s="528" t="s">
        <v>98</v>
      </c>
      <c r="E292" s="707" t="s">
        <v>321</v>
      </c>
      <c r="F292" s="534" t="s">
        <v>313</v>
      </c>
      <c r="G292" s="460" t="s">
        <v>881</v>
      </c>
      <c r="H292" s="534" t="s">
        <v>100</v>
      </c>
      <c r="I292" s="582" t="str">
        <f>VLOOKUP(H292,'9a-Typen vloeren'!$A$10:$B$40,2,FALSE)</f>
        <v>Sprayen/ conserveren</v>
      </c>
      <c r="J292" s="588">
        <v>9.3000001907348633</v>
      </c>
      <c r="K292" s="433">
        <f t="shared" si="20"/>
        <v>0</v>
      </c>
      <c r="L292" s="433">
        <f t="shared" si="21"/>
        <v>0</v>
      </c>
      <c r="M292" s="433">
        <f t="shared" si="22"/>
        <v>0</v>
      </c>
      <c r="N292" s="672"/>
      <c r="O292" s="729">
        <f>IF(N292="",0,N292*K292/'9b-Vloeronderhoud'!$F$4)</f>
        <v>0</v>
      </c>
      <c r="P292" s="672"/>
      <c r="Q292" s="729" t="e">
        <f>IF(O292="",0,P292*L292/'9b-Vloeronderhoud'!$F$6)</f>
        <v>#DIV/0!</v>
      </c>
      <c r="R292" s="449">
        <v>1</v>
      </c>
      <c r="S292" s="672" t="s">
        <v>179</v>
      </c>
      <c r="T292" s="161">
        <f t="shared" si="23"/>
        <v>0</v>
      </c>
      <c r="U292" s="162">
        <f>IF(S292="nio",0,IF(S292&gt;0,VLOOKUP(G292,'3-Productie normen'!A:K,VLOOKUP(S292,'3-Productie normen'!L:N,3,FALSE),FALSE)))</f>
        <v>0</v>
      </c>
      <c r="V292" s="162">
        <f>VLOOKUP(G292,'3-Productie normen'!A:K,10,FALSE)</f>
        <v>5262.809993648526</v>
      </c>
      <c r="W292" s="163">
        <f>VLOOKUP(G292,'3-Productie normen'!A:K,11,FALSE)</f>
        <v>0</v>
      </c>
      <c r="X292" s="163"/>
      <c r="Z292" s="129">
        <f t="shared" si="24"/>
        <v>0</v>
      </c>
    </row>
    <row r="293" spans="1:26" ht="14.1" customHeight="1">
      <c r="A293" s="144">
        <v>299</v>
      </c>
      <c r="B293" s="160" t="s">
        <v>259</v>
      </c>
      <c r="C293" s="490" t="s">
        <v>742</v>
      </c>
      <c r="D293" s="528" t="s">
        <v>98</v>
      </c>
      <c r="E293" s="707" t="s">
        <v>323</v>
      </c>
      <c r="F293" s="534" t="s">
        <v>285</v>
      </c>
      <c r="G293" s="303" t="s">
        <v>285</v>
      </c>
      <c r="H293" s="534" t="s">
        <v>100</v>
      </c>
      <c r="I293" s="582" t="str">
        <f>VLOOKUP(H293,'9a-Typen vloeren'!$A$10:$B$40,2,FALSE)</f>
        <v>Sprayen/ conserveren</v>
      </c>
      <c r="J293" s="588">
        <v>85.699996948242188</v>
      </c>
      <c r="K293" s="433">
        <f t="shared" si="20"/>
        <v>85.699996948242188</v>
      </c>
      <c r="L293" s="433">
        <f t="shared" si="21"/>
        <v>0</v>
      </c>
      <c r="M293" s="433">
        <f t="shared" si="22"/>
        <v>0</v>
      </c>
      <c r="N293" s="672"/>
      <c r="O293" s="729">
        <f>IF(N293="",0,N293*K293/'9b-Vloeronderhoud'!$F$4)</f>
        <v>0</v>
      </c>
      <c r="P293" s="672"/>
      <c r="Q293" s="729" t="e">
        <f>IF(O293="",0,P293*L293/'9b-Vloeronderhoud'!$F$6)</f>
        <v>#DIV/0!</v>
      </c>
      <c r="R293" s="449">
        <v>1</v>
      </c>
      <c r="S293" s="672">
        <v>190</v>
      </c>
      <c r="T293" s="161" t="e">
        <f t="shared" si="23"/>
        <v>#DIV/0!</v>
      </c>
      <c r="U293" s="162">
        <f>IF(S293="nio",0,IF(S293&gt;0,VLOOKUP(G293,'3-Productie normen'!A:K,VLOOKUP(S293,'3-Productie normen'!L:N,3,FALSE),FALSE)))</f>
        <v>0</v>
      </c>
      <c r="V293" s="162">
        <f>VLOOKUP(G293,'3-Productie normen'!A:K,10,FALSE)</f>
        <v>3305.8200070953367</v>
      </c>
      <c r="W293" s="163">
        <f>VLOOKUP(G293,'3-Productie normen'!A:K,11,FALSE)</f>
        <v>0</v>
      </c>
      <c r="X293" s="163"/>
      <c r="Z293" s="129">
        <f t="shared" si="24"/>
        <v>16282.999420166016</v>
      </c>
    </row>
    <row r="294" spans="1:26" ht="14.1" customHeight="1">
      <c r="A294" s="144">
        <v>300</v>
      </c>
      <c r="B294" s="160" t="s">
        <v>259</v>
      </c>
      <c r="C294" s="490" t="s">
        <v>742</v>
      </c>
      <c r="D294" s="528" t="s">
        <v>98</v>
      </c>
      <c r="E294" s="707" t="s">
        <v>324</v>
      </c>
      <c r="F294" s="534" t="s">
        <v>344</v>
      </c>
      <c r="G294" s="460" t="s">
        <v>285</v>
      </c>
      <c r="H294" s="534" t="s">
        <v>101</v>
      </c>
      <c r="I294" s="582" t="str">
        <f>VLOOKUP(H294,'9a-Typen vloeren'!$A$10:$B$40,2,FALSE)</f>
        <v>Schrobben</v>
      </c>
      <c r="J294" s="588">
        <v>10.550000190734863</v>
      </c>
      <c r="K294" s="433">
        <f t="shared" si="20"/>
        <v>0</v>
      </c>
      <c r="L294" s="433">
        <f t="shared" si="21"/>
        <v>10.550000190734863</v>
      </c>
      <c r="M294" s="433">
        <f t="shared" si="22"/>
        <v>0</v>
      </c>
      <c r="N294" s="672"/>
      <c r="O294" s="729">
        <f>IF(N294="",0,N294*K294/'9b-Vloeronderhoud'!$F$4)</f>
        <v>0</v>
      </c>
      <c r="P294" s="672"/>
      <c r="Q294" s="729" t="e">
        <f>IF(O294="",0,P294*L294/'9b-Vloeronderhoud'!$F$6)</f>
        <v>#DIV/0!</v>
      </c>
      <c r="R294" s="449">
        <v>1</v>
      </c>
      <c r="S294" s="672">
        <v>190</v>
      </c>
      <c r="T294" s="161" t="e">
        <f t="shared" si="23"/>
        <v>#DIV/0!</v>
      </c>
      <c r="U294" s="162">
        <f>IF(S294="nio",0,IF(S294&gt;0,VLOOKUP(G294,'3-Productie normen'!A:K,VLOOKUP(S294,'3-Productie normen'!L:N,3,FALSE),FALSE)))</f>
        <v>0</v>
      </c>
      <c r="V294" s="162">
        <f>VLOOKUP(G294,'3-Productie normen'!A:K,10,FALSE)</f>
        <v>3305.8200070953367</v>
      </c>
      <c r="W294" s="163">
        <f>VLOOKUP(G294,'3-Productie normen'!A:K,11,FALSE)</f>
        <v>0</v>
      </c>
      <c r="X294" s="163"/>
      <c r="Z294" s="129">
        <f t="shared" si="24"/>
        <v>2004.500036239624</v>
      </c>
    </row>
    <row r="295" spans="1:26" ht="14.1" customHeight="1">
      <c r="A295" s="144">
        <v>301</v>
      </c>
      <c r="B295" s="160" t="s">
        <v>259</v>
      </c>
      <c r="C295" s="490" t="s">
        <v>742</v>
      </c>
      <c r="D295" s="528" t="s">
        <v>98</v>
      </c>
      <c r="E295" s="707" t="s">
        <v>325</v>
      </c>
      <c r="F295" s="534" t="s">
        <v>302</v>
      </c>
      <c r="G295" s="303" t="s">
        <v>18</v>
      </c>
      <c r="H295" s="534" t="s">
        <v>954</v>
      </c>
      <c r="I295" s="582" t="str">
        <f>VLOOKUP(H295,'9a-Typen vloeren'!$A$10:$B$40,2,FALSE)</f>
        <v>zie kwaliteitsontwerp</v>
      </c>
      <c r="J295" s="588">
        <v>5.5999999046325684</v>
      </c>
      <c r="K295" s="433">
        <f t="shared" si="20"/>
        <v>0</v>
      </c>
      <c r="L295" s="433">
        <f t="shared" si="21"/>
        <v>0</v>
      </c>
      <c r="M295" s="433">
        <f t="shared" si="22"/>
        <v>0</v>
      </c>
      <c r="N295" s="672"/>
      <c r="O295" s="729">
        <f>IF(N295="",0,N295*K295/'9b-Vloeronderhoud'!$F$4)</f>
        <v>0</v>
      </c>
      <c r="P295" s="672"/>
      <c r="Q295" s="729" t="e">
        <f>IF(O295="",0,P295*L295/'9b-Vloeronderhoud'!$F$6)</f>
        <v>#DIV/0!</v>
      </c>
      <c r="R295" s="449">
        <v>1</v>
      </c>
      <c r="S295" s="672">
        <v>190</v>
      </c>
      <c r="T295" s="161" t="e">
        <f t="shared" si="23"/>
        <v>#DIV/0!</v>
      </c>
      <c r="U295" s="162">
        <f>IF(S295="nio",0,IF(S295&gt;0,VLOOKUP(G295,'3-Productie normen'!A:K,VLOOKUP(S295,'3-Productie normen'!L:N,3,FALSE),FALSE)))</f>
        <v>0</v>
      </c>
      <c r="V295" s="162">
        <f>VLOOKUP(G295,'3-Productie normen'!A:K,10,FALSE)</f>
        <v>1859.5880019121171</v>
      </c>
      <c r="W295" s="163">
        <f>VLOOKUP(G295,'3-Productie normen'!A:K,11,FALSE)</f>
        <v>0</v>
      </c>
      <c r="X295" s="163"/>
      <c r="Z295" s="129">
        <f t="shared" si="24"/>
        <v>1063.999981880188</v>
      </c>
    </row>
    <row r="296" spans="1:26" ht="14.1" customHeight="1">
      <c r="A296" s="144">
        <v>302</v>
      </c>
      <c r="B296" s="160" t="s">
        <v>259</v>
      </c>
      <c r="C296" s="490" t="s">
        <v>742</v>
      </c>
      <c r="D296" s="528" t="s">
        <v>98</v>
      </c>
      <c r="E296" s="707" t="s">
        <v>326</v>
      </c>
      <c r="F296" s="303" t="s">
        <v>281</v>
      </c>
      <c r="G296" s="460" t="s">
        <v>881</v>
      </c>
      <c r="H296" s="534" t="s">
        <v>101</v>
      </c>
      <c r="I296" s="582" t="str">
        <f>VLOOKUP(H296,'9a-Typen vloeren'!$A$10:$B$40,2,FALSE)</f>
        <v>Schrobben</v>
      </c>
      <c r="J296" s="588">
        <v>2.2999999523162842</v>
      </c>
      <c r="K296" s="433">
        <f t="shared" si="20"/>
        <v>0</v>
      </c>
      <c r="L296" s="433">
        <f t="shared" si="21"/>
        <v>0</v>
      </c>
      <c r="M296" s="433">
        <f t="shared" si="22"/>
        <v>0</v>
      </c>
      <c r="N296" s="672"/>
      <c r="O296" s="729">
        <f>IF(N296="",0,N296*K296/'9b-Vloeronderhoud'!$F$4)</f>
        <v>0</v>
      </c>
      <c r="P296" s="672"/>
      <c r="Q296" s="729" t="e">
        <f>IF(O296="",0,P296*L296/'9b-Vloeronderhoud'!$F$6)</f>
        <v>#DIV/0!</v>
      </c>
      <c r="R296" s="449">
        <v>1</v>
      </c>
      <c r="S296" s="672" t="s">
        <v>179</v>
      </c>
      <c r="T296" s="161">
        <f t="shared" si="23"/>
        <v>0</v>
      </c>
      <c r="U296" s="162">
        <f>IF(S296="nio",0,IF(S296&gt;0,VLOOKUP(G296,'3-Productie normen'!A:K,VLOOKUP(S296,'3-Productie normen'!L:N,3,FALSE),FALSE)))</f>
        <v>0</v>
      </c>
      <c r="V296" s="162">
        <f>VLOOKUP(G296,'3-Productie normen'!A:K,10,FALSE)</f>
        <v>5262.809993648526</v>
      </c>
      <c r="W296" s="163">
        <f>VLOOKUP(G296,'3-Productie normen'!A:K,11,FALSE)</f>
        <v>0</v>
      </c>
      <c r="X296" s="163"/>
      <c r="Z296" s="129">
        <f t="shared" si="24"/>
        <v>0</v>
      </c>
    </row>
    <row r="297" spans="1:26" ht="14.1" customHeight="1">
      <c r="A297" s="144">
        <v>303</v>
      </c>
      <c r="B297" s="160" t="s">
        <v>242</v>
      </c>
      <c r="C297" s="490" t="s">
        <v>643</v>
      </c>
      <c r="D297" s="528" t="s">
        <v>98</v>
      </c>
      <c r="E297" s="707" t="s">
        <v>294</v>
      </c>
      <c r="F297" s="534" t="s">
        <v>99</v>
      </c>
      <c r="G297" s="303" t="s">
        <v>99</v>
      </c>
      <c r="H297" s="303" t="s">
        <v>332</v>
      </c>
      <c r="I297" s="582" t="str">
        <f>VLOOKUP(H297,'9a-Typen vloeren'!$A$10:$B$40,2,FALSE)</f>
        <v>Sproei/extraheren</v>
      </c>
      <c r="J297" s="588">
        <v>16</v>
      </c>
      <c r="K297" s="433">
        <f t="shared" si="20"/>
        <v>0</v>
      </c>
      <c r="L297" s="433">
        <f t="shared" si="21"/>
        <v>0</v>
      </c>
      <c r="M297" s="433">
        <f t="shared" si="22"/>
        <v>16</v>
      </c>
      <c r="N297" s="672"/>
      <c r="O297" s="729">
        <f>IF(N297="",0,N297*K297/'9b-Vloeronderhoud'!$F$4)</f>
        <v>0</v>
      </c>
      <c r="P297" s="672"/>
      <c r="Q297" s="729" t="e">
        <f>IF(O297="",0,P297*L297/'9b-Vloeronderhoud'!$F$6)</f>
        <v>#DIV/0!</v>
      </c>
      <c r="R297" s="449">
        <v>1</v>
      </c>
      <c r="S297" s="672">
        <v>120</v>
      </c>
      <c r="T297" s="161" t="e">
        <f t="shared" si="23"/>
        <v>#DIV/0!</v>
      </c>
      <c r="U297" s="162">
        <f>IF(S297="nio",0,IF(S297&gt;0,VLOOKUP(G297,'3-Productie normen'!A:K,VLOOKUP(S297,'3-Productie normen'!L:N,3,FALSE),FALSE)))</f>
        <v>0</v>
      </c>
      <c r="V297" s="162">
        <f>VLOOKUP(G297,'3-Productie normen'!A:K,10,FALSE)</f>
        <v>726.97999910354622</v>
      </c>
      <c r="W297" s="163">
        <f>VLOOKUP(G297,'3-Productie normen'!A:K,11,FALSE)</f>
        <v>0</v>
      </c>
      <c r="X297" s="163"/>
      <c r="Z297" s="129">
        <f t="shared" si="24"/>
        <v>1920</v>
      </c>
    </row>
    <row r="298" spans="1:26" ht="14.1" customHeight="1">
      <c r="A298" s="144">
        <v>304</v>
      </c>
      <c r="B298" s="160" t="s">
        <v>242</v>
      </c>
      <c r="C298" s="490" t="s">
        <v>643</v>
      </c>
      <c r="D298" s="528" t="s">
        <v>98</v>
      </c>
      <c r="E298" s="707" t="s">
        <v>295</v>
      </c>
      <c r="F298" s="534" t="s">
        <v>283</v>
      </c>
      <c r="G298" s="303" t="s">
        <v>286</v>
      </c>
      <c r="H298" s="534" t="s">
        <v>100</v>
      </c>
      <c r="I298" s="582" t="str">
        <f>VLOOKUP(H298,'9a-Typen vloeren'!$A$10:$B$40,2,FALSE)</f>
        <v>Sprayen/ conserveren</v>
      </c>
      <c r="J298" s="588">
        <v>95</v>
      </c>
      <c r="K298" s="433">
        <f t="shared" si="20"/>
        <v>95</v>
      </c>
      <c r="L298" s="433">
        <f t="shared" si="21"/>
        <v>0</v>
      </c>
      <c r="M298" s="433">
        <f t="shared" si="22"/>
        <v>0</v>
      </c>
      <c r="N298" s="672">
        <v>2</v>
      </c>
      <c r="O298" s="729" t="e">
        <f>IF(N298="",0,N298*K298/'9b-Vloeronderhoud'!$F$4)</f>
        <v>#DIV/0!</v>
      </c>
      <c r="P298" s="672"/>
      <c r="Q298" s="729" t="e">
        <f>IF(O298="",0,P298*L298/'9b-Vloeronderhoud'!$F$6)</f>
        <v>#DIV/0!</v>
      </c>
      <c r="R298" s="449">
        <v>1</v>
      </c>
      <c r="S298" s="672">
        <v>120</v>
      </c>
      <c r="T298" s="161" t="e">
        <f t="shared" si="23"/>
        <v>#DIV/0!</v>
      </c>
      <c r="U298" s="162">
        <f>IF(S298="nio",0,IF(S298&gt;0,VLOOKUP(G298,'3-Productie normen'!A:K,VLOOKUP(S298,'3-Productie normen'!L:N,3,FALSE),FALSE)))</f>
        <v>0</v>
      </c>
      <c r="V298" s="162">
        <f>VLOOKUP(G298,'3-Productie normen'!A:K,10,FALSE)</f>
        <v>6152.9500017547598</v>
      </c>
      <c r="W298" s="163">
        <f>VLOOKUP(G298,'3-Productie normen'!A:K,11,FALSE)</f>
        <v>0</v>
      </c>
      <c r="X298" s="163"/>
      <c r="Z298" s="129">
        <f t="shared" si="24"/>
        <v>11400</v>
      </c>
    </row>
    <row r="299" spans="1:26" ht="14.1" customHeight="1">
      <c r="A299" s="144">
        <v>305</v>
      </c>
      <c r="B299" s="160" t="s">
        <v>242</v>
      </c>
      <c r="C299" s="490" t="s">
        <v>643</v>
      </c>
      <c r="D299" s="528" t="s">
        <v>98</v>
      </c>
      <c r="E299" s="707" t="s">
        <v>296</v>
      </c>
      <c r="F299" s="303" t="s">
        <v>221</v>
      </c>
      <c r="G299" s="460" t="s">
        <v>881</v>
      </c>
      <c r="H299" s="534" t="s">
        <v>100</v>
      </c>
      <c r="I299" s="582" t="str">
        <f>VLOOKUP(H299,'9a-Typen vloeren'!$A$10:$B$40,2,FALSE)</f>
        <v>Sprayen/ conserveren</v>
      </c>
      <c r="J299" s="588">
        <v>52</v>
      </c>
      <c r="K299" s="433">
        <f t="shared" si="20"/>
        <v>0</v>
      </c>
      <c r="L299" s="433">
        <f t="shared" si="21"/>
        <v>0</v>
      </c>
      <c r="M299" s="433">
        <f t="shared" si="22"/>
        <v>0</v>
      </c>
      <c r="N299" s="672"/>
      <c r="O299" s="729">
        <f>IF(N299="",0,N299*K299/'9b-Vloeronderhoud'!$F$4)</f>
        <v>0</v>
      </c>
      <c r="P299" s="672"/>
      <c r="Q299" s="729" t="e">
        <f>IF(O299="",0,P299*L299/'9b-Vloeronderhoud'!$F$6)</f>
        <v>#DIV/0!</v>
      </c>
      <c r="R299" s="449">
        <v>1</v>
      </c>
      <c r="S299" s="672" t="s">
        <v>179</v>
      </c>
      <c r="T299" s="161">
        <f t="shared" si="23"/>
        <v>0</v>
      </c>
      <c r="U299" s="162">
        <f>IF(S299="nio",0,IF(S299&gt;0,VLOOKUP(G299,'3-Productie normen'!A:K,VLOOKUP(S299,'3-Productie normen'!L:N,3,FALSE),FALSE)))</f>
        <v>0</v>
      </c>
      <c r="V299" s="162">
        <f>VLOOKUP(G299,'3-Productie normen'!A:K,10,FALSE)</f>
        <v>5262.809993648526</v>
      </c>
      <c r="W299" s="163">
        <f>VLOOKUP(G299,'3-Productie normen'!A:K,11,FALSE)</f>
        <v>0</v>
      </c>
      <c r="X299" s="163" t="s">
        <v>880</v>
      </c>
      <c r="Z299" s="129">
        <f t="shared" si="24"/>
        <v>0</v>
      </c>
    </row>
    <row r="300" spans="1:26" ht="14.1" customHeight="1">
      <c r="A300" s="144">
        <v>306</v>
      </c>
      <c r="B300" s="160" t="s">
        <v>242</v>
      </c>
      <c r="C300" s="490" t="s">
        <v>643</v>
      </c>
      <c r="D300" s="528" t="s">
        <v>98</v>
      </c>
      <c r="E300" s="707" t="s">
        <v>298</v>
      </c>
      <c r="F300" s="534" t="s">
        <v>283</v>
      </c>
      <c r="G300" s="303" t="s">
        <v>286</v>
      </c>
      <c r="H300" s="534" t="s">
        <v>100</v>
      </c>
      <c r="I300" s="582" t="str">
        <f>VLOOKUP(H300,'9a-Typen vloeren'!$A$10:$B$40,2,FALSE)</f>
        <v>Sprayen/ conserveren</v>
      </c>
      <c r="J300" s="588">
        <v>42</v>
      </c>
      <c r="K300" s="433">
        <f t="shared" si="20"/>
        <v>42</v>
      </c>
      <c r="L300" s="433">
        <f t="shared" si="21"/>
        <v>0</v>
      </c>
      <c r="M300" s="433">
        <f t="shared" si="22"/>
        <v>0</v>
      </c>
      <c r="N300" s="672">
        <v>2</v>
      </c>
      <c r="O300" s="729" t="e">
        <f>IF(N300="",0,N300*K300/'9b-Vloeronderhoud'!$F$4)</f>
        <v>#DIV/0!</v>
      </c>
      <c r="P300" s="672"/>
      <c r="Q300" s="729" t="e">
        <f>IF(O300="",0,P300*L300/'9b-Vloeronderhoud'!$F$6)</f>
        <v>#DIV/0!</v>
      </c>
      <c r="R300" s="449">
        <v>1</v>
      </c>
      <c r="S300" s="672">
        <v>120</v>
      </c>
      <c r="T300" s="161" t="e">
        <f t="shared" si="23"/>
        <v>#DIV/0!</v>
      </c>
      <c r="U300" s="162">
        <f>IF(S300="nio",0,IF(S300&gt;0,VLOOKUP(G300,'3-Productie normen'!A:K,VLOOKUP(S300,'3-Productie normen'!L:N,3,FALSE),FALSE)))</f>
        <v>0</v>
      </c>
      <c r="V300" s="162">
        <f>VLOOKUP(G300,'3-Productie normen'!A:K,10,FALSE)</f>
        <v>6152.9500017547598</v>
      </c>
      <c r="W300" s="163">
        <f>VLOOKUP(G300,'3-Productie normen'!A:K,11,FALSE)</f>
        <v>0</v>
      </c>
      <c r="X300" s="163"/>
      <c r="Z300" s="129">
        <f t="shared" si="24"/>
        <v>5040</v>
      </c>
    </row>
    <row r="301" spans="1:26" ht="14.1" customHeight="1">
      <c r="A301" s="144">
        <v>307</v>
      </c>
      <c r="B301" s="160" t="s">
        <v>242</v>
      </c>
      <c r="C301" s="490" t="s">
        <v>643</v>
      </c>
      <c r="D301" s="528" t="s">
        <v>98</v>
      </c>
      <c r="E301" s="707" t="s">
        <v>301</v>
      </c>
      <c r="F301" s="534" t="s">
        <v>221</v>
      </c>
      <c r="G301" s="460" t="s">
        <v>881</v>
      </c>
      <c r="H301" s="534" t="s">
        <v>100</v>
      </c>
      <c r="I301" s="582" t="str">
        <f>VLOOKUP(H301,'9a-Typen vloeren'!$A$10:$B$40,2,FALSE)</f>
        <v>Sprayen/ conserveren</v>
      </c>
      <c r="J301" s="588">
        <v>52</v>
      </c>
      <c r="K301" s="433">
        <f t="shared" si="20"/>
        <v>0</v>
      </c>
      <c r="L301" s="433">
        <f t="shared" si="21"/>
        <v>0</v>
      </c>
      <c r="M301" s="433">
        <f t="shared" si="22"/>
        <v>0</v>
      </c>
      <c r="N301" s="672"/>
      <c r="O301" s="729">
        <f>IF(N301="",0,N301*K301/'9b-Vloeronderhoud'!$F$4)</f>
        <v>0</v>
      </c>
      <c r="P301" s="672"/>
      <c r="Q301" s="729" t="e">
        <f>IF(O301="",0,P301*L301/'9b-Vloeronderhoud'!$F$6)</f>
        <v>#DIV/0!</v>
      </c>
      <c r="R301" s="449">
        <v>1</v>
      </c>
      <c r="S301" s="672" t="s">
        <v>179</v>
      </c>
      <c r="T301" s="161">
        <f t="shared" si="23"/>
        <v>0</v>
      </c>
      <c r="U301" s="162">
        <f>IF(S301="nio",0,IF(S301&gt;0,VLOOKUP(G301,'3-Productie normen'!A:K,VLOOKUP(S301,'3-Productie normen'!L:N,3,FALSE),FALSE)))</f>
        <v>0</v>
      </c>
      <c r="V301" s="162">
        <f>VLOOKUP(G301,'3-Productie normen'!A:K,10,FALSE)</f>
        <v>5262.809993648526</v>
      </c>
      <c r="W301" s="163">
        <f>VLOOKUP(G301,'3-Productie normen'!A:K,11,FALSE)</f>
        <v>0</v>
      </c>
      <c r="X301" s="163" t="s">
        <v>880</v>
      </c>
      <c r="Z301" s="129">
        <f t="shared" si="24"/>
        <v>0</v>
      </c>
    </row>
    <row r="302" spans="1:26" ht="14.1" customHeight="1">
      <c r="A302" s="144">
        <v>308</v>
      </c>
      <c r="B302" s="160" t="s">
        <v>242</v>
      </c>
      <c r="C302" s="490" t="s">
        <v>643</v>
      </c>
      <c r="D302" s="528" t="s">
        <v>98</v>
      </c>
      <c r="E302" s="707" t="s">
        <v>303</v>
      </c>
      <c r="F302" s="534" t="s">
        <v>221</v>
      </c>
      <c r="G302" s="460" t="s">
        <v>881</v>
      </c>
      <c r="H302" s="534" t="s">
        <v>100</v>
      </c>
      <c r="I302" s="582" t="str">
        <f>VLOOKUP(H302,'9a-Typen vloeren'!$A$10:$B$40,2,FALSE)</f>
        <v>Sprayen/ conserveren</v>
      </c>
      <c r="J302" s="588">
        <v>52</v>
      </c>
      <c r="K302" s="433">
        <f t="shared" si="20"/>
        <v>0</v>
      </c>
      <c r="L302" s="433">
        <f t="shared" si="21"/>
        <v>0</v>
      </c>
      <c r="M302" s="433">
        <f t="shared" si="22"/>
        <v>0</v>
      </c>
      <c r="N302" s="672"/>
      <c r="O302" s="729">
        <f>IF(N302="",0,N302*K302/'9b-Vloeronderhoud'!$F$4)</f>
        <v>0</v>
      </c>
      <c r="P302" s="672"/>
      <c r="Q302" s="729" t="e">
        <f>IF(O302="",0,P302*L302/'9b-Vloeronderhoud'!$F$6)</f>
        <v>#DIV/0!</v>
      </c>
      <c r="R302" s="449">
        <v>1</v>
      </c>
      <c r="S302" s="672" t="s">
        <v>179</v>
      </c>
      <c r="T302" s="161">
        <f t="shared" si="23"/>
        <v>0</v>
      </c>
      <c r="U302" s="162">
        <f>IF(S302="nio",0,IF(S302&gt;0,VLOOKUP(G302,'3-Productie normen'!A:K,VLOOKUP(S302,'3-Productie normen'!L:N,3,FALSE),FALSE)))</f>
        <v>0</v>
      </c>
      <c r="V302" s="162">
        <f>VLOOKUP(G302,'3-Productie normen'!A:K,10,FALSE)</f>
        <v>5262.809993648526</v>
      </c>
      <c r="W302" s="163">
        <f>VLOOKUP(G302,'3-Productie normen'!A:K,11,FALSE)</f>
        <v>0</v>
      </c>
      <c r="X302" s="163" t="s">
        <v>880</v>
      </c>
      <c r="Z302" s="129">
        <f t="shared" si="24"/>
        <v>0</v>
      </c>
    </row>
    <row r="303" spans="1:26" ht="14.1" customHeight="1">
      <c r="A303" s="144">
        <v>309</v>
      </c>
      <c r="B303" s="160" t="s">
        <v>242</v>
      </c>
      <c r="C303" s="490" t="s">
        <v>643</v>
      </c>
      <c r="D303" s="528" t="s">
        <v>98</v>
      </c>
      <c r="E303" s="707" t="s">
        <v>305</v>
      </c>
      <c r="F303" s="534" t="s">
        <v>302</v>
      </c>
      <c r="G303" s="303" t="s">
        <v>18</v>
      </c>
      <c r="H303" s="534" t="s">
        <v>954</v>
      </c>
      <c r="I303" s="582" t="str">
        <f>VLOOKUP(H303,'9a-Typen vloeren'!$A$10:$B$40,2,FALSE)</f>
        <v>zie kwaliteitsontwerp</v>
      </c>
      <c r="J303" s="588">
        <v>12</v>
      </c>
      <c r="K303" s="433">
        <f t="shared" si="20"/>
        <v>0</v>
      </c>
      <c r="L303" s="433">
        <f t="shared" si="21"/>
        <v>0</v>
      </c>
      <c r="M303" s="433">
        <f t="shared" si="22"/>
        <v>0</v>
      </c>
      <c r="N303" s="672"/>
      <c r="O303" s="729">
        <f>IF(N303="",0,N303*K303/'9b-Vloeronderhoud'!$F$4)</f>
        <v>0</v>
      </c>
      <c r="P303" s="672"/>
      <c r="Q303" s="729" t="e">
        <f>IF(O303="",0,P303*L303/'9b-Vloeronderhoud'!$F$6)</f>
        <v>#DIV/0!</v>
      </c>
      <c r="R303" s="449">
        <v>1</v>
      </c>
      <c r="S303" s="672">
        <v>120</v>
      </c>
      <c r="T303" s="161" t="e">
        <f t="shared" si="23"/>
        <v>#DIV/0!</v>
      </c>
      <c r="U303" s="162">
        <f>IF(S303="nio",0,IF(S303&gt;0,VLOOKUP(G303,'3-Productie normen'!A:K,VLOOKUP(S303,'3-Productie normen'!L:N,3,FALSE),FALSE)))</f>
        <v>0</v>
      </c>
      <c r="V303" s="162">
        <f>VLOOKUP(G303,'3-Productie normen'!A:K,10,FALSE)</f>
        <v>1859.5880019121171</v>
      </c>
      <c r="W303" s="163">
        <f>VLOOKUP(G303,'3-Productie normen'!A:K,11,FALSE)</f>
        <v>0</v>
      </c>
      <c r="X303" s="163"/>
      <c r="Z303" s="129">
        <f t="shared" si="24"/>
        <v>1440</v>
      </c>
    </row>
    <row r="304" spans="1:26" ht="14.1" customHeight="1">
      <c r="A304" s="144">
        <v>310</v>
      </c>
      <c r="B304" s="160" t="s">
        <v>242</v>
      </c>
      <c r="C304" s="490" t="s">
        <v>643</v>
      </c>
      <c r="D304" s="528" t="s">
        <v>98</v>
      </c>
      <c r="E304" s="707" t="s">
        <v>306</v>
      </c>
      <c r="F304" s="534" t="s">
        <v>316</v>
      </c>
      <c r="G304" s="460" t="s">
        <v>881</v>
      </c>
      <c r="H304" s="534" t="s">
        <v>375</v>
      </c>
      <c r="I304" s="582" t="str">
        <f>VLOOKUP(H304,'9a-Typen vloeren'!$A$10:$B$40,2,FALSE)</f>
        <v>n.v.t.</v>
      </c>
      <c r="J304" s="588">
        <v>6</v>
      </c>
      <c r="K304" s="433">
        <f t="shared" si="20"/>
        <v>0</v>
      </c>
      <c r="L304" s="433">
        <f t="shared" si="21"/>
        <v>0</v>
      </c>
      <c r="M304" s="433">
        <f t="shared" si="22"/>
        <v>0</v>
      </c>
      <c r="N304" s="672"/>
      <c r="O304" s="729">
        <f>IF(N304="",0,N304*K304/'9b-Vloeronderhoud'!$F$4)</f>
        <v>0</v>
      </c>
      <c r="P304" s="672"/>
      <c r="Q304" s="729" t="e">
        <f>IF(O304="",0,P304*L304/'9b-Vloeronderhoud'!$F$6)</f>
        <v>#DIV/0!</v>
      </c>
      <c r="R304" s="449">
        <v>1</v>
      </c>
      <c r="S304" s="672" t="s">
        <v>179</v>
      </c>
      <c r="T304" s="161">
        <f t="shared" si="23"/>
        <v>0</v>
      </c>
      <c r="U304" s="162">
        <f>IF(S304="nio",0,IF(S304&gt;0,VLOOKUP(G304,'3-Productie normen'!A:K,VLOOKUP(S304,'3-Productie normen'!L:N,3,FALSE),FALSE)))</f>
        <v>0</v>
      </c>
      <c r="V304" s="162">
        <f>VLOOKUP(G304,'3-Productie normen'!A:K,10,FALSE)</f>
        <v>5262.809993648526</v>
      </c>
      <c r="W304" s="163">
        <f>VLOOKUP(G304,'3-Productie normen'!A:K,11,FALSE)</f>
        <v>0</v>
      </c>
      <c r="X304" s="163"/>
      <c r="Z304" s="129">
        <f t="shared" si="24"/>
        <v>0</v>
      </c>
    </row>
    <row r="305" spans="1:26" ht="14.1" customHeight="1">
      <c r="A305" s="144">
        <v>311</v>
      </c>
      <c r="B305" s="160" t="s">
        <v>242</v>
      </c>
      <c r="C305" s="490" t="s">
        <v>643</v>
      </c>
      <c r="D305" s="528" t="s">
        <v>98</v>
      </c>
      <c r="E305" s="707" t="s">
        <v>307</v>
      </c>
      <c r="F305" s="534" t="s">
        <v>353</v>
      </c>
      <c r="G305" s="303" t="s">
        <v>421</v>
      </c>
      <c r="H305" s="534" t="s">
        <v>100</v>
      </c>
      <c r="I305" s="582" t="str">
        <f>VLOOKUP(H305,'9a-Typen vloeren'!$A$10:$B$40,2,FALSE)</f>
        <v>Sprayen/ conserveren</v>
      </c>
      <c r="J305" s="588">
        <v>36.799999237060547</v>
      </c>
      <c r="K305" s="433">
        <f t="shared" si="20"/>
        <v>36.799999237060547</v>
      </c>
      <c r="L305" s="433">
        <f t="shared" si="21"/>
        <v>0</v>
      </c>
      <c r="M305" s="433">
        <f t="shared" si="22"/>
        <v>0</v>
      </c>
      <c r="N305" s="672"/>
      <c r="O305" s="729">
        <f>IF(N305="",0,N305*K305/'9b-Vloeronderhoud'!$F$4)</f>
        <v>0</v>
      </c>
      <c r="P305" s="672"/>
      <c r="Q305" s="729" t="e">
        <f>IF(O305="",0,P305*L305/'9b-Vloeronderhoud'!$F$6)</f>
        <v>#DIV/0!</v>
      </c>
      <c r="R305" s="449">
        <v>1</v>
      </c>
      <c r="S305" s="672">
        <v>40</v>
      </c>
      <c r="T305" s="161" t="e">
        <f t="shared" si="23"/>
        <v>#DIV/0!</v>
      </c>
      <c r="U305" s="162">
        <f>IF(S305="nio",0,IF(S305&gt;0,VLOOKUP(G305,'3-Productie normen'!A:K,VLOOKUP(S305,'3-Productie normen'!L:N,3,FALSE),FALSE)))</f>
        <v>0</v>
      </c>
      <c r="V305" s="162">
        <f>VLOOKUP(G305,'3-Productie normen'!A:K,10,FALSE)</f>
        <v>865.11000061035156</v>
      </c>
      <c r="W305" s="163">
        <f>VLOOKUP(G305,'3-Productie normen'!A:K,11,FALSE)</f>
        <v>0</v>
      </c>
      <c r="X305" s="163"/>
      <c r="Z305" s="129">
        <f t="shared" si="24"/>
        <v>1471.9999694824219</v>
      </c>
    </row>
    <row r="306" spans="1:26" ht="14.1" customHeight="1">
      <c r="A306" s="144">
        <v>312</v>
      </c>
      <c r="B306" s="160" t="s">
        <v>242</v>
      </c>
      <c r="C306" s="490" t="s">
        <v>643</v>
      </c>
      <c r="D306" s="528" t="s">
        <v>98</v>
      </c>
      <c r="E306" s="707" t="s">
        <v>309</v>
      </c>
      <c r="F306" s="534" t="s">
        <v>313</v>
      </c>
      <c r="G306" s="460" t="s">
        <v>881</v>
      </c>
      <c r="H306" s="534" t="s">
        <v>100</v>
      </c>
      <c r="I306" s="582" t="str">
        <f>VLOOKUP(H306,'9a-Typen vloeren'!$A$10:$B$40,2,FALSE)</f>
        <v>Sprayen/ conserveren</v>
      </c>
      <c r="J306" s="588">
        <v>6</v>
      </c>
      <c r="K306" s="433">
        <f t="shared" si="20"/>
        <v>0</v>
      </c>
      <c r="L306" s="433">
        <f t="shared" si="21"/>
        <v>0</v>
      </c>
      <c r="M306" s="433">
        <f t="shared" si="22"/>
        <v>0</v>
      </c>
      <c r="N306" s="672"/>
      <c r="O306" s="729">
        <f>IF(N306="",0,N306*K306/'9b-Vloeronderhoud'!$F$4)</f>
        <v>0</v>
      </c>
      <c r="P306" s="672"/>
      <c r="Q306" s="729" t="e">
        <f>IF(O306="",0,P306*L306/'9b-Vloeronderhoud'!$F$6)</f>
        <v>#DIV/0!</v>
      </c>
      <c r="R306" s="449">
        <v>1</v>
      </c>
      <c r="S306" s="672" t="s">
        <v>179</v>
      </c>
      <c r="T306" s="161">
        <f t="shared" si="23"/>
        <v>0</v>
      </c>
      <c r="U306" s="162">
        <f>IF(S306="nio",0,IF(S306&gt;0,VLOOKUP(G306,'3-Productie normen'!A:K,VLOOKUP(S306,'3-Productie normen'!L:N,3,FALSE),FALSE)))</f>
        <v>0</v>
      </c>
      <c r="V306" s="162">
        <f>VLOOKUP(G306,'3-Productie normen'!A:K,10,FALSE)</f>
        <v>5262.809993648526</v>
      </c>
      <c r="W306" s="163">
        <f>VLOOKUP(G306,'3-Productie normen'!A:K,11,FALSE)</f>
        <v>0</v>
      </c>
      <c r="X306" s="163"/>
      <c r="Z306" s="129">
        <f t="shared" si="24"/>
        <v>0</v>
      </c>
    </row>
    <row r="307" spans="1:26" ht="14.1" customHeight="1">
      <c r="A307" s="144">
        <v>313</v>
      </c>
      <c r="B307" s="160" t="s">
        <v>242</v>
      </c>
      <c r="C307" s="490" t="s">
        <v>643</v>
      </c>
      <c r="D307" s="528" t="s">
        <v>98</v>
      </c>
      <c r="E307" s="707" t="s">
        <v>311</v>
      </c>
      <c r="F307" s="534" t="s">
        <v>302</v>
      </c>
      <c r="G307" s="460" t="s">
        <v>18</v>
      </c>
      <c r="H307" s="534" t="s">
        <v>954</v>
      </c>
      <c r="I307" s="582" t="str">
        <f>VLOOKUP(H307,'9a-Typen vloeren'!$A$10:$B$40,2,FALSE)</f>
        <v>zie kwaliteitsontwerp</v>
      </c>
      <c r="J307" s="588">
        <v>12</v>
      </c>
      <c r="K307" s="433">
        <f t="shared" si="20"/>
        <v>0</v>
      </c>
      <c r="L307" s="433">
        <f t="shared" si="21"/>
        <v>0</v>
      </c>
      <c r="M307" s="433">
        <f t="shared" si="22"/>
        <v>0</v>
      </c>
      <c r="N307" s="672"/>
      <c r="O307" s="729">
        <f>IF(N307="",0,N307*K307/'9b-Vloeronderhoud'!$F$4)</f>
        <v>0</v>
      </c>
      <c r="P307" s="672"/>
      <c r="Q307" s="729" t="e">
        <f>IF(O307="",0,P307*L307/'9b-Vloeronderhoud'!$F$6)</f>
        <v>#DIV/0!</v>
      </c>
      <c r="R307" s="449">
        <v>1</v>
      </c>
      <c r="S307" s="672">
        <v>120</v>
      </c>
      <c r="T307" s="161" t="e">
        <f t="shared" si="23"/>
        <v>#DIV/0!</v>
      </c>
      <c r="U307" s="162">
        <f>IF(S307="nio",0,IF(S307&gt;0,VLOOKUP(G307,'3-Productie normen'!A:K,VLOOKUP(S307,'3-Productie normen'!L:N,3,FALSE),FALSE)))</f>
        <v>0</v>
      </c>
      <c r="V307" s="162">
        <f>VLOOKUP(G307,'3-Productie normen'!A:K,10,FALSE)</f>
        <v>1859.5880019121171</v>
      </c>
      <c r="W307" s="163">
        <f>VLOOKUP(G307,'3-Productie normen'!A:K,11,FALSE)</f>
        <v>0</v>
      </c>
      <c r="X307" s="163"/>
      <c r="Z307" s="129">
        <f t="shared" si="24"/>
        <v>1440</v>
      </c>
    </row>
    <row r="308" spans="1:26" ht="14.1" customHeight="1">
      <c r="A308" s="144">
        <v>314</v>
      </c>
      <c r="B308" s="160" t="s">
        <v>242</v>
      </c>
      <c r="C308" s="490" t="s">
        <v>643</v>
      </c>
      <c r="D308" s="528" t="s">
        <v>98</v>
      </c>
      <c r="E308" s="707" t="s">
        <v>312</v>
      </c>
      <c r="F308" s="534" t="s">
        <v>299</v>
      </c>
      <c r="G308" s="460" t="s">
        <v>881</v>
      </c>
      <c r="H308" s="303" t="s">
        <v>332</v>
      </c>
      <c r="I308" s="582" t="str">
        <f>VLOOKUP(H308,'9a-Typen vloeren'!$A$10:$B$40,2,FALSE)</f>
        <v>Sproei/extraheren</v>
      </c>
      <c r="J308" s="588">
        <v>12</v>
      </c>
      <c r="K308" s="433">
        <f t="shared" si="20"/>
        <v>0</v>
      </c>
      <c r="L308" s="433">
        <f t="shared" si="21"/>
        <v>0</v>
      </c>
      <c r="M308" s="433">
        <f t="shared" si="22"/>
        <v>0</v>
      </c>
      <c r="N308" s="672"/>
      <c r="O308" s="729">
        <f>IF(N308="",0,N308*K308/'9b-Vloeronderhoud'!$F$4)</f>
        <v>0</v>
      </c>
      <c r="P308" s="672"/>
      <c r="Q308" s="729" t="e">
        <f>IF(O308="",0,P308*L308/'9b-Vloeronderhoud'!$F$6)</f>
        <v>#DIV/0!</v>
      </c>
      <c r="R308" s="449">
        <v>1</v>
      </c>
      <c r="S308" s="672" t="s">
        <v>179</v>
      </c>
      <c r="T308" s="161">
        <f t="shared" si="23"/>
        <v>0</v>
      </c>
      <c r="U308" s="162">
        <f>IF(S308="nio",0,IF(S308&gt;0,VLOOKUP(G308,'3-Productie normen'!A:K,VLOOKUP(S308,'3-Productie normen'!L:N,3,FALSE),FALSE)))</f>
        <v>0</v>
      </c>
      <c r="V308" s="162">
        <f>VLOOKUP(G308,'3-Productie normen'!A:K,10,FALSE)</f>
        <v>5262.809993648526</v>
      </c>
      <c r="W308" s="163">
        <f>VLOOKUP(G308,'3-Productie normen'!A:K,11,FALSE)</f>
        <v>0</v>
      </c>
      <c r="X308" s="163" t="s">
        <v>880</v>
      </c>
      <c r="Z308" s="129">
        <f t="shared" si="24"/>
        <v>0</v>
      </c>
    </row>
    <row r="309" spans="1:26" ht="14.1" customHeight="1">
      <c r="A309" s="144">
        <v>315</v>
      </c>
      <c r="B309" s="160" t="s">
        <v>242</v>
      </c>
      <c r="C309" s="490" t="s">
        <v>643</v>
      </c>
      <c r="D309" s="528" t="s">
        <v>98</v>
      </c>
      <c r="E309" s="707" t="s">
        <v>314</v>
      </c>
      <c r="F309" s="534" t="s">
        <v>297</v>
      </c>
      <c r="G309" s="460" t="s">
        <v>881</v>
      </c>
      <c r="H309" s="303" t="s">
        <v>332</v>
      </c>
      <c r="I309" s="582" t="str">
        <f>VLOOKUP(H309,'9a-Typen vloeren'!$A$10:$B$40,2,FALSE)</f>
        <v>Sproei/extraheren</v>
      </c>
      <c r="J309" s="588">
        <v>20</v>
      </c>
      <c r="K309" s="433">
        <f t="shared" si="20"/>
        <v>0</v>
      </c>
      <c r="L309" s="433">
        <f t="shared" si="21"/>
        <v>0</v>
      </c>
      <c r="M309" s="433">
        <f t="shared" si="22"/>
        <v>0</v>
      </c>
      <c r="N309" s="672"/>
      <c r="O309" s="729">
        <f>IF(N309="",0,N309*K309/'9b-Vloeronderhoud'!$F$4)</f>
        <v>0</v>
      </c>
      <c r="P309" s="672"/>
      <c r="Q309" s="729" t="e">
        <f>IF(O309="",0,P309*L309/'9b-Vloeronderhoud'!$F$6)</f>
        <v>#DIV/0!</v>
      </c>
      <c r="R309" s="449">
        <v>1</v>
      </c>
      <c r="S309" s="672" t="s">
        <v>179</v>
      </c>
      <c r="T309" s="161">
        <f t="shared" si="23"/>
        <v>0</v>
      </c>
      <c r="U309" s="162">
        <f>IF(S309="nio",0,IF(S309&gt;0,VLOOKUP(G309,'3-Productie normen'!A:K,VLOOKUP(S309,'3-Productie normen'!L:N,3,FALSE),FALSE)))</f>
        <v>0</v>
      </c>
      <c r="V309" s="162">
        <f>VLOOKUP(G309,'3-Productie normen'!A:K,10,FALSE)</f>
        <v>5262.809993648526</v>
      </c>
      <c r="W309" s="163">
        <f>VLOOKUP(G309,'3-Productie normen'!A:K,11,FALSE)</f>
        <v>0</v>
      </c>
      <c r="X309" s="163" t="s">
        <v>880</v>
      </c>
      <c r="Z309" s="129">
        <f t="shared" si="24"/>
        <v>0</v>
      </c>
    </row>
    <row r="310" spans="1:26" ht="14.1" customHeight="1">
      <c r="A310" s="144">
        <v>316</v>
      </c>
      <c r="B310" s="160" t="s">
        <v>242</v>
      </c>
      <c r="C310" s="490" t="s">
        <v>643</v>
      </c>
      <c r="D310" s="528" t="s">
        <v>98</v>
      </c>
      <c r="E310" s="707" t="s">
        <v>315</v>
      </c>
      <c r="F310" s="534" t="s">
        <v>302</v>
      </c>
      <c r="G310" s="460" t="s">
        <v>881</v>
      </c>
      <c r="H310" s="534" t="s">
        <v>101</v>
      </c>
      <c r="I310" s="582" t="str">
        <f>VLOOKUP(H310,'9a-Typen vloeren'!$A$10:$B$40,2,FALSE)</f>
        <v>Schrobben</v>
      </c>
      <c r="J310" s="588">
        <v>6.9499998092651367</v>
      </c>
      <c r="K310" s="433">
        <f t="shared" si="20"/>
        <v>0</v>
      </c>
      <c r="L310" s="433">
        <f t="shared" si="21"/>
        <v>0</v>
      </c>
      <c r="M310" s="433">
        <f t="shared" si="22"/>
        <v>0</v>
      </c>
      <c r="N310" s="672"/>
      <c r="O310" s="729">
        <f>IF(N310="",0,N310*K310/'9b-Vloeronderhoud'!$F$4)</f>
        <v>0</v>
      </c>
      <c r="P310" s="672"/>
      <c r="Q310" s="729" t="e">
        <f>IF(O310="",0,P310*L310/'9b-Vloeronderhoud'!$F$6)</f>
        <v>#DIV/0!</v>
      </c>
      <c r="R310" s="449">
        <v>1</v>
      </c>
      <c r="S310" s="672" t="s">
        <v>179</v>
      </c>
      <c r="T310" s="161">
        <f t="shared" si="23"/>
        <v>0</v>
      </c>
      <c r="U310" s="162">
        <f>IF(S310="nio",0,IF(S310&gt;0,VLOOKUP(G310,'3-Productie normen'!A:K,VLOOKUP(S310,'3-Productie normen'!L:N,3,FALSE),FALSE)))</f>
        <v>0</v>
      </c>
      <c r="V310" s="162">
        <f>VLOOKUP(G310,'3-Productie normen'!A:K,10,FALSE)</f>
        <v>5262.809993648526</v>
      </c>
      <c r="W310" s="163">
        <f>VLOOKUP(G310,'3-Productie normen'!A:K,11,FALSE)</f>
        <v>0</v>
      </c>
      <c r="X310" s="163" t="s">
        <v>880</v>
      </c>
      <c r="Z310" s="129">
        <f t="shared" si="24"/>
        <v>0</v>
      </c>
    </row>
    <row r="311" spans="1:26" ht="14.1" customHeight="1">
      <c r="A311" s="144">
        <v>317</v>
      </c>
      <c r="B311" s="160" t="s">
        <v>242</v>
      </c>
      <c r="C311" s="490" t="s">
        <v>643</v>
      </c>
      <c r="D311" s="528" t="s">
        <v>98</v>
      </c>
      <c r="E311" s="707" t="s">
        <v>317</v>
      </c>
      <c r="F311" s="502" t="s">
        <v>343</v>
      </c>
      <c r="G311" s="460" t="s">
        <v>881</v>
      </c>
      <c r="H311" s="534" t="s">
        <v>100</v>
      </c>
      <c r="I311" s="582" t="str">
        <f>VLOOKUP(H311,'9a-Typen vloeren'!$A$10:$B$40,2,FALSE)</f>
        <v>Sprayen/ conserveren</v>
      </c>
      <c r="J311" s="588">
        <v>7.3000001907348633</v>
      </c>
      <c r="K311" s="433">
        <f t="shared" si="20"/>
        <v>0</v>
      </c>
      <c r="L311" s="433">
        <f t="shared" si="21"/>
        <v>0</v>
      </c>
      <c r="M311" s="433">
        <f t="shared" si="22"/>
        <v>0</v>
      </c>
      <c r="N311" s="672"/>
      <c r="O311" s="729">
        <f>IF(N311="",0,N311*K311/'9b-Vloeronderhoud'!$F$4)</f>
        <v>0</v>
      </c>
      <c r="P311" s="672"/>
      <c r="Q311" s="729" t="e">
        <f>IF(O311="",0,P311*L311/'9b-Vloeronderhoud'!$F$6)</f>
        <v>#DIV/0!</v>
      </c>
      <c r="R311" s="449">
        <v>1</v>
      </c>
      <c r="S311" s="672" t="s">
        <v>179</v>
      </c>
      <c r="T311" s="161">
        <f t="shared" si="23"/>
        <v>0</v>
      </c>
      <c r="U311" s="162">
        <f>IF(S311="nio",0,IF(S311&gt;0,VLOOKUP(G311,'3-Productie normen'!A:K,VLOOKUP(S311,'3-Productie normen'!L:N,3,FALSE),FALSE)))</f>
        <v>0</v>
      </c>
      <c r="V311" s="162">
        <f>VLOOKUP(G311,'3-Productie normen'!A:K,10,FALSE)</f>
        <v>5262.809993648526</v>
      </c>
      <c r="W311" s="163">
        <f>VLOOKUP(G311,'3-Productie normen'!A:K,11,FALSE)</f>
        <v>0</v>
      </c>
      <c r="X311" s="163" t="s">
        <v>880</v>
      </c>
      <c r="Z311" s="129">
        <f t="shared" si="24"/>
        <v>0</v>
      </c>
    </row>
    <row r="312" spans="1:26" ht="14.1" customHeight="1">
      <c r="A312" s="144">
        <v>318</v>
      </c>
      <c r="B312" s="160" t="s">
        <v>242</v>
      </c>
      <c r="C312" s="485" t="s">
        <v>643</v>
      </c>
      <c r="D312" s="530" t="s">
        <v>98</v>
      </c>
      <c r="E312" s="708" t="s">
        <v>318</v>
      </c>
      <c r="F312" s="537" t="s">
        <v>297</v>
      </c>
      <c r="G312" s="460" t="s">
        <v>881</v>
      </c>
      <c r="H312" s="534" t="s">
        <v>100</v>
      </c>
      <c r="I312" s="582" t="str">
        <f>VLOOKUP(H312,'9a-Typen vloeren'!$A$10:$B$40,2,FALSE)</f>
        <v>Sprayen/ conserveren</v>
      </c>
      <c r="J312" s="588">
        <v>18</v>
      </c>
      <c r="K312" s="433">
        <f t="shared" si="20"/>
        <v>0</v>
      </c>
      <c r="L312" s="433">
        <f t="shared" si="21"/>
        <v>0</v>
      </c>
      <c r="M312" s="433">
        <f t="shared" si="22"/>
        <v>0</v>
      </c>
      <c r="N312" s="672"/>
      <c r="O312" s="729">
        <f>IF(N312="",0,N312*K312/'9b-Vloeronderhoud'!$F$4)</f>
        <v>0</v>
      </c>
      <c r="P312" s="672"/>
      <c r="Q312" s="729" t="e">
        <f>IF(O312="",0,P312*L312/'9b-Vloeronderhoud'!$F$6)</f>
        <v>#DIV/0!</v>
      </c>
      <c r="R312" s="449">
        <v>1</v>
      </c>
      <c r="S312" s="672" t="s">
        <v>179</v>
      </c>
      <c r="T312" s="161">
        <f t="shared" si="23"/>
        <v>0</v>
      </c>
      <c r="U312" s="162">
        <f>IF(S312="nio",0,IF(S312&gt;0,VLOOKUP(G312,'3-Productie normen'!A:K,VLOOKUP(S312,'3-Productie normen'!L:N,3,FALSE),FALSE)))</f>
        <v>0</v>
      </c>
      <c r="V312" s="162">
        <f>VLOOKUP(G312,'3-Productie normen'!A:K,10,FALSE)</f>
        <v>5262.809993648526</v>
      </c>
      <c r="W312" s="163">
        <f>VLOOKUP(G312,'3-Productie normen'!A:K,11,FALSE)</f>
        <v>0</v>
      </c>
      <c r="X312" s="163" t="s">
        <v>880</v>
      </c>
      <c r="Z312" s="129">
        <f t="shared" si="24"/>
        <v>0</v>
      </c>
    </row>
    <row r="313" spans="1:26" ht="14.1" customHeight="1">
      <c r="A313" s="144">
        <v>319</v>
      </c>
      <c r="B313" s="160" t="s">
        <v>242</v>
      </c>
      <c r="C313" s="485" t="s">
        <v>643</v>
      </c>
      <c r="D313" s="530" t="s">
        <v>98</v>
      </c>
      <c r="E313" s="708" t="s">
        <v>319</v>
      </c>
      <c r="F313" s="537" t="s">
        <v>302</v>
      </c>
      <c r="G313" s="460" t="s">
        <v>881</v>
      </c>
      <c r="H313" s="534" t="s">
        <v>101</v>
      </c>
      <c r="I313" s="582" t="str">
        <f>VLOOKUP(H313,'9a-Typen vloeren'!$A$10:$B$40,2,FALSE)</f>
        <v>Schrobben</v>
      </c>
      <c r="J313" s="588">
        <v>6.9499998092651367</v>
      </c>
      <c r="K313" s="433">
        <f t="shared" si="20"/>
        <v>0</v>
      </c>
      <c r="L313" s="433">
        <f t="shared" si="21"/>
        <v>0</v>
      </c>
      <c r="M313" s="433">
        <f t="shared" si="22"/>
        <v>0</v>
      </c>
      <c r="N313" s="672"/>
      <c r="O313" s="729">
        <f>IF(N313="",0,N313*K313/'9b-Vloeronderhoud'!$F$4)</f>
        <v>0</v>
      </c>
      <c r="P313" s="672"/>
      <c r="Q313" s="729" t="e">
        <f>IF(O313="",0,P313*L313/'9b-Vloeronderhoud'!$F$6)</f>
        <v>#DIV/0!</v>
      </c>
      <c r="R313" s="449">
        <v>1</v>
      </c>
      <c r="S313" s="672" t="s">
        <v>179</v>
      </c>
      <c r="T313" s="161">
        <f t="shared" si="23"/>
        <v>0</v>
      </c>
      <c r="U313" s="162">
        <f>IF(S313="nio",0,IF(S313&gt;0,VLOOKUP(G313,'3-Productie normen'!A:K,VLOOKUP(S313,'3-Productie normen'!L:N,3,FALSE),FALSE)))</f>
        <v>0</v>
      </c>
      <c r="V313" s="162">
        <f>VLOOKUP(G313,'3-Productie normen'!A:K,10,FALSE)</f>
        <v>5262.809993648526</v>
      </c>
      <c r="W313" s="163">
        <f>VLOOKUP(G313,'3-Productie normen'!A:K,11,FALSE)</f>
        <v>0</v>
      </c>
      <c r="X313" s="163" t="s">
        <v>880</v>
      </c>
      <c r="Z313" s="129">
        <f t="shared" si="24"/>
        <v>0</v>
      </c>
    </row>
    <row r="314" spans="1:26" ht="14.1" customHeight="1">
      <c r="A314" s="144">
        <v>320</v>
      </c>
      <c r="B314" s="160" t="s">
        <v>242</v>
      </c>
      <c r="C314" s="485" t="s">
        <v>643</v>
      </c>
      <c r="D314" s="530" t="s">
        <v>98</v>
      </c>
      <c r="E314" s="708" t="s">
        <v>320</v>
      </c>
      <c r="F314" s="537" t="s">
        <v>297</v>
      </c>
      <c r="G314" s="460" t="s">
        <v>881</v>
      </c>
      <c r="H314" s="534" t="s">
        <v>100</v>
      </c>
      <c r="I314" s="582" t="str">
        <f>VLOOKUP(H314,'9a-Typen vloeren'!$A$10:$B$40,2,FALSE)</f>
        <v>Sprayen/ conserveren</v>
      </c>
      <c r="J314" s="588">
        <v>14</v>
      </c>
      <c r="K314" s="433">
        <f t="shared" si="20"/>
        <v>0</v>
      </c>
      <c r="L314" s="433">
        <f t="shared" si="21"/>
        <v>0</v>
      </c>
      <c r="M314" s="433">
        <f t="shared" si="22"/>
        <v>0</v>
      </c>
      <c r="N314" s="672"/>
      <c r="O314" s="729">
        <f>IF(N314="",0,N314*K314/'9b-Vloeronderhoud'!$F$4)</f>
        <v>0</v>
      </c>
      <c r="P314" s="672"/>
      <c r="Q314" s="729" t="e">
        <f>IF(O314="",0,P314*L314/'9b-Vloeronderhoud'!$F$6)</f>
        <v>#DIV/0!</v>
      </c>
      <c r="R314" s="449">
        <v>1</v>
      </c>
      <c r="S314" s="672" t="s">
        <v>179</v>
      </c>
      <c r="T314" s="161">
        <f t="shared" si="23"/>
        <v>0</v>
      </c>
      <c r="U314" s="162">
        <f>IF(S314="nio",0,IF(S314&gt;0,VLOOKUP(G314,'3-Productie normen'!A:K,VLOOKUP(S314,'3-Productie normen'!L:N,3,FALSE),FALSE)))</f>
        <v>0</v>
      </c>
      <c r="V314" s="162">
        <f>VLOOKUP(G314,'3-Productie normen'!A:K,10,FALSE)</f>
        <v>5262.809993648526</v>
      </c>
      <c r="W314" s="163">
        <f>VLOOKUP(G314,'3-Productie normen'!A:K,11,FALSE)</f>
        <v>0</v>
      </c>
      <c r="X314" s="163" t="s">
        <v>880</v>
      </c>
      <c r="Z314" s="129">
        <f t="shared" si="24"/>
        <v>0</v>
      </c>
    </row>
    <row r="315" spans="1:26" ht="14.1" customHeight="1">
      <c r="A315" s="144">
        <v>321</v>
      </c>
      <c r="B315" s="160" t="s">
        <v>242</v>
      </c>
      <c r="C315" s="485" t="s">
        <v>643</v>
      </c>
      <c r="D315" s="530" t="s">
        <v>98</v>
      </c>
      <c r="E315" s="708" t="s">
        <v>321</v>
      </c>
      <c r="F315" s="537" t="s">
        <v>297</v>
      </c>
      <c r="G315" s="460" t="s">
        <v>881</v>
      </c>
      <c r="H315" s="534" t="s">
        <v>100</v>
      </c>
      <c r="I315" s="582" t="str">
        <f>VLOOKUP(H315,'9a-Typen vloeren'!$A$10:$B$40,2,FALSE)</f>
        <v>Sprayen/ conserveren</v>
      </c>
      <c r="J315" s="588">
        <v>18</v>
      </c>
      <c r="K315" s="433">
        <f t="shared" si="20"/>
        <v>0</v>
      </c>
      <c r="L315" s="433">
        <f t="shared" si="21"/>
        <v>0</v>
      </c>
      <c r="M315" s="433">
        <f t="shared" si="22"/>
        <v>0</v>
      </c>
      <c r="N315" s="672"/>
      <c r="O315" s="729">
        <f>IF(N315="",0,N315*K315/'9b-Vloeronderhoud'!$F$4)</f>
        <v>0</v>
      </c>
      <c r="P315" s="672"/>
      <c r="Q315" s="729" t="e">
        <f>IF(O315="",0,P315*L315/'9b-Vloeronderhoud'!$F$6)</f>
        <v>#DIV/0!</v>
      </c>
      <c r="R315" s="449">
        <v>1</v>
      </c>
      <c r="S315" s="672" t="s">
        <v>179</v>
      </c>
      <c r="T315" s="161">
        <f t="shared" si="23"/>
        <v>0</v>
      </c>
      <c r="U315" s="162">
        <f>IF(S315="nio",0,IF(S315&gt;0,VLOOKUP(G315,'3-Productie normen'!A:K,VLOOKUP(S315,'3-Productie normen'!L:N,3,FALSE),FALSE)))</f>
        <v>0</v>
      </c>
      <c r="V315" s="162">
        <f>VLOOKUP(G315,'3-Productie normen'!A:K,10,FALSE)</f>
        <v>5262.809993648526</v>
      </c>
      <c r="W315" s="163">
        <f>VLOOKUP(G315,'3-Productie normen'!A:K,11,FALSE)</f>
        <v>0</v>
      </c>
      <c r="X315" s="163" t="s">
        <v>880</v>
      </c>
      <c r="Z315" s="129">
        <f t="shared" si="24"/>
        <v>0</v>
      </c>
    </row>
    <row r="316" spans="1:26" ht="14.1" customHeight="1">
      <c r="A316" s="144">
        <v>322</v>
      </c>
      <c r="B316" s="160" t="s">
        <v>242</v>
      </c>
      <c r="C316" s="485" t="s">
        <v>643</v>
      </c>
      <c r="D316" s="530" t="s">
        <v>98</v>
      </c>
      <c r="E316" s="708" t="s">
        <v>323</v>
      </c>
      <c r="F316" s="537" t="s">
        <v>373</v>
      </c>
      <c r="G316" s="460" t="s">
        <v>881</v>
      </c>
      <c r="H316" s="534" t="s">
        <v>100</v>
      </c>
      <c r="I316" s="582" t="str">
        <f>VLOOKUP(H316,'9a-Typen vloeren'!$A$10:$B$40,2,FALSE)</f>
        <v>Sprayen/ conserveren</v>
      </c>
      <c r="J316" s="588">
        <v>65</v>
      </c>
      <c r="K316" s="433">
        <f t="shared" si="20"/>
        <v>0</v>
      </c>
      <c r="L316" s="433">
        <f t="shared" si="21"/>
        <v>0</v>
      </c>
      <c r="M316" s="433">
        <f t="shared" si="22"/>
        <v>0</v>
      </c>
      <c r="N316" s="672"/>
      <c r="O316" s="729">
        <f>IF(N316="",0,N316*K316/'9b-Vloeronderhoud'!$F$4)</f>
        <v>0</v>
      </c>
      <c r="P316" s="672"/>
      <c r="Q316" s="729" t="e">
        <f>IF(O316="",0,P316*L316/'9b-Vloeronderhoud'!$F$6)</f>
        <v>#DIV/0!</v>
      </c>
      <c r="R316" s="449">
        <v>1</v>
      </c>
      <c r="S316" s="672" t="s">
        <v>179</v>
      </c>
      <c r="T316" s="161">
        <f t="shared" si="23"/>
        <v>0</v>
      </c>
      <c r="U316" s="162">
        <f>IF(S316="nio",0,IF(S316&gt;0,VLOOKUP(G316,'3-Productie normen'!A:K,VLOOKUP(S316,'3-Productie normen'!L:N,3,FALSE),FALSE)))</f>
        <v>0</v>
      </c>
      <c r="V316" s="162">
        <f>VLOOKUP(G316,'3-Productie normen'!A:K,10,FALSE)</f>
        <v>5262.809993648526</v>
      </c>
      <c r="W316" s="163">
        <f>VLOOKUP(G316,'3-Productie normen'!A:K,11,FALSE)</f>
        <v>0</v>
      </c>
      <c r="X316" s="163" t="s">
        <v>880</v>
      </c>
      <c r="Z316" s="129">
        <f t="shared" si="24"/>
        <v>0</v>
      </c>
    </row>
    <row r="317" spans="1:26" ht="14.1" customHeight="1">
      <c r="A317" s="144">
        <v>323</v>
      </c>
      <c r="B317" s="160" t="s">
        <v>242</v>
      </c>
      <c r="C317" s="485" t="s">
        <v>643</v>
      </c>
      <c r="D317" s="530" t="s">
        <v>98</v>
      </c>
      <c r="E317" s="708" t="s">
        <v>325</v>
      </c>
      <c r="F317" s="537" t="s">
        <v>404</v>
      </c>
      <c r="G317" s="460" t="s">
        <v>286</v>
      </c>
      <c r="H317" s="534" t="s">
        <v>100</v>
      </c>
      <c r="I317" s="582" t="str">
        <f>VLOOKUP(H317,'9a-Typen vloeren'!$A$10:$B$40,2,FALSE)</f>
        <v>Sprayen/ conserveren</v>
      </c>
      <c r="J317" s="588">
        <v>41</v>
      </c>
      <c r="K317" s="433">
        <f t="shared" si="20"/>
        <v>41</v>
      </c>
      <c r="L317" s="433">
        <f t="shared" si="21"/>
        <v>0</v>
      </c>
      <c r="M317" s="433">
        <f t="shared" si="22"/>
        <v>0</v>
      </c>
      <c r="N317" s="672">
        <v>2</v>
      </c>
      <c r="O317" s="729" t="e">
        <f>IF(N317="",0,N317*K317/'9b-Vloeronderhoud'!$F$4)</f>
        <v>#DIV/0!</v>
      </c>
      <c r="P317" s="672"/>
      <c r="Q317" s="729" t="e">
        <f>IF(O317="",0,P317*L317/'9b-Vloeronderhoud'!$F$6)</f>
        <v>#DIV/0!</v>
      </c>
      <c r="R317" s="449">
        <v>1</v>
      </c>
      <c r="S317" s="672">
        <v>120</v>
      </c>
      <c r="T317" s="161" t="e">
        <f t="shared" si="23"/>
        <v>#DIV/0!</v>
      </c>
      <c r="U317" s="162">
        <f>IF(S317="nio",0,IF(S317&gt;0,VLOOKUP(G317,'3-Productie normen'!A:K,VLOOKUP(S317,'3-Productie normen'!L:N,3,FALSE),FALSE)))</f>
        <v>0</v>
      </c>
      <c r="V317" s="162">
        <f>VLOOKUP(G317,'3-Productie normen'!A:K,10,FALSE)</f>
        <v>6152.9500017547598</v>
      </c>
      <c r="W317" s="163">
        <f>VLOOKUP(G317,'3-Productie normen'!A:K,11,FALSE)</f>
        <v>0</v>
      </c>
      <c r="X317" s="163"/>
      <c r="Z317" s="129">
        <f t="shared" si="24"/>
        <v>4920</v>
      </c>
    </row>
    <row r="318" spans="1:26" ht="14.1" customHeight="1">
      <c r="A318" s="144">
        <v>324</v>
      </c>
      <c r="B318" s="160" t="s">
        <v>242</v>
      </c>
      <c r="C318" s="485" t="s">
        <v>643</v>
      </c>
      <c r="D318" s="530" t="s">
        <v>98</v>
      </c>
      <c r="E318" s="708" t="s">
        <v>326</v>
      </c>
      <c r="F318" s="537" t="s">
        <v>283</v>
      </c>
      <c r="G318" s="460" t="s">
        <v>286</v>
      </c>
      <c r="H318" s="534" t="s">
        <v>100</v>
      </c>
      <c r="I318" s="582" t="str">
        <f>VLOOKUP(H318,'9a-Typen vloeren'!$A$10:$B$40,2,FALSE)</f>
        <v>Sprayen/ conserveren</v>
      </c>
      <c r="J318" s="588">
        <v>43</v>
      </c>
      <c r="K318" s="433">
        <f t="shared" si="20"/>
        <v>43</v>
      </c>
      <c r="L318" s="433">
        <f t="shared" si="21"/>
        <v>0</v>
      </c>
      <c r="M318" s="433">
        <f t="shared" si="22"/>
        <v>0</v>
      </c>
      <c r="N318" s="672">
        <v>2</v>
      </c>
      <c r="O318" s="729" t="e">
        <f>IF(N318="",0,N318*K318/'9b-Vloeronderhoud'!$F$4)</f>
        <v>#DIV/0!</v>
      </c>
      <c r="P318" s="672"/>
      <c r="Q318" s="729" t="e">
        <f>IF(O318="",0,P318*L318/'9b-Vloeronderhoud'!$F$6)</f>
        <v>#DIV/0!</v>
      </c>
      <c r="R318" s="449">
        <v>1</v>
      </c>
      <c r="S318" s="672">
        <v>120</v>
      </c>
      <c r="T318" s="161" t="e">
        <f t="shared" si="23"/>
        <v>#DIV/0!</v>
      </c>
      <c r="U318" s="162">
        <f>IF(S318="nio",0,IF(S318&gt;0,VLOOKUP(G318,'3-Productie normen'!A:K,VLOOKUP(S318,'3-Productie normen'!L:N,3,FALSE),FALSE)))</f>
        <v>0</v>
      </c>
      <c r="V318" s="162">
        <f>VLOOKUP(G318,'3-Productie normen'!A:K,10,FALSE)</f>
        <v>6152.9500017547598</v>
      </c>
      <c r="W318" s="163">
        <f>VLOOKUP(G318,'3-Productie normen'!A:K,11,FALSE)</f>
        <v>0</v>
      </c>
      <c r="X318" s="163"/>
      <c r="Z318" s="129">
        <f t="shared" si="24"/>
        <v>5160</v>
      </c>
    </row>
    <row r="319" spans="1:26" ht="14.1" customHeight="1">
      <c r="A319" s="144">
        <v>325</v>
      </c>
      <c r="B319" s="160" t="s">
        <v>242</v>
      </c>
      <c r="C319" s="485" t="s">
        <v>643</v>
      </c>
      <c r="D319" s="530" t="s">
        <v>98</v>
      </c>
      <c r="E319" s="708" t="s">
        <v>328</v>
      </c>
      <c r="F319" s="537" t="s">
        <v>313</v>
      </c>
      <c r="G319" s="460" t="s">
        <v>881</v>
      </c>
      <c r="H319" s="534" t="s">
        <v>375</v>
      </c>
      <c r="I319" s="582" t="str">
        <f>VLOOKUP(H319,'9a-Typen vloeren'!$A$10:$B$40,2,FALSE)</f>
        <v>n.v.t.</v>
      </c>
      <c r="J319" s="588">
        <v>7</v>
      </c>
      <c r="K319" s="433">
        <f t="shared" si="20"/>
        <v>0</v>
      </c>
      <c r="L319" s="433">
        <f t="shared" si="21"/>
        <v>0</v>
      </c>
      <c r="M319" s="433">
        <f t="shared" si="22"/>
        <v>0</v>
      </c>
      <c r="N319" s="672"/>
      <c r="O319" s="729">
        <f>IF(N319="",0,N319*K319/'9b-Vloeronderhoud'!$F$4)</f>
        <v>0</v>
      </c>
      <c r="P319" s="672"/>
      <c r="Q319" s="729" t="e">
        <f>IF(O319="",0,P319*L319/'9b-Vloeronderhoud'!$F$6)</f>
        <v>#DIV/0!</v>
      </c>
      <c r="R319" s="449">
        <v>1</v>
      </c>
      <c r="S319" s="672" t="s">
        <v>179</v>
      </c>
      <c r="T319" s="161">
        <f t="shared" si="23"/>
        <v>0</v>
      </c>
      <c r="U319" s="162">
        <f>IF(S319="nio",0,IF(S319&gt;0,VLOOKUP(G319,'3-Productie normen'!A:K,VLOOKUP(S319,'3-Productie normen'!L:N,3,FALSE),FALSE)))</f>
        <v>0</v>
      </c>
      <c r="V319" s="162">
        <f>VLOOKUP(G319,'3-Productie normen'!A:K,10,FALSE)</f>
        <v>5262.809993648526</v>
      </c>
      <c r="W319" s="163">
        <f>VLOOKUP(G319,'3-Productie normen'!A:K,11,FALSE)</f>
        <v>0</v>
      </c>
      <c r="X319" s="163"/>
      <c r="Z319" s="129">
        <f t="shared" si="24"/>
        <v>0</v>
      </c>
    </row>
    <row r="320" spans="1:26" ht="14.1" customHeight="1">
      <c r="A320" s="144">
        <v>326</v>
      </c>
      <c r="B320" s="160" t="s">
        <v>242</v>
      </c>
      <c r="C320" s="491" t="s">
        <v>643</v>
      </c>
      <c r="D320" s="529" t="s">
        <v>98</v>
      </c>
      <c r="E320" s="710" t="s">
        <v>329</v>
      </c>
      <c r="F320" s="535" t="s">
        <v>644</v>
      </c>
      <c r="G320" s="460" t="s">
        <v>881</v>
      </c>
      <c r="H320" s="534" t="s">
        <v>100</v>
      </c>
      <c r="I320" s="582" t="str">
        <f>VLOOKUP(H320,'9a-Typen vloeren'!$A$10:$B$40,2,FALSE)</f>
        <v>Sprayen/ conserveren</v>
      </c>
      <c r="J320" s="588">
        <v>15</v>
      </c>
      <c r="K320" s="433">
        <f t="shared" si="20"/>
        <v>0</v>
      </c>
      <c r="L320" s="433">
        <f t="shared" si="21"/>
        <v>0</v>
      </c>
      <c r="M320" s="433">
        <f t="shared" si="22"/>
        <v>0</v>
      </c>
      <c r="N320" s="672"/>
      <c r="O320" s="729">
        <f>IF(N320="",0,N320*K320/'9b-Vloeronderhoud'!$F$4)</f>
        <v>0</v>
      </c>
      <c r="P320" s="672"/>
      <c r="Q320" s="729" t="e">
        <f>IF(O320="",0,P320*L320/'9b-Vloeronderhoud'!$F$6)</f>
        <v>#DIV/0!</v>
      </c>
      <c r="R320" s="449">
        <v>1</v>
      </c>
      <c r="S320" s="672" t="s">
        <v>179</v>
      </c>
      <c r="T320" s="161">
        <f t="shared" si="23"/>
        <v>0</v>
      </c>
      <c r="U320" s="162">
        <f>IF(S320="nio",0,IF(S320&gt;0,VLOOKUP(G320,'3-Productie normen'!A:K,VLOOKUP(S320,'3-Productie normen'!L:N,3,FALSE),FALSE)))</f>
        <v>0</v>
      </c>
      <c r="V320" s="162">
        <f>VLOOKUP(G320,'3-Productie normen'!A:K,10,FALSE)</f>
        <v>5262.809993648526</v>
      </c>
      <c r="W320" s="163">
        <f>VLOOKUP(G320,'3-Productie normen'!A:K,11,FALSE)</f>
        <v>0</v>
      </c>
      <c r="X320" s="163"/>
      <c r="Z320" s="129">
        <f t="shared" si="24"/>
        <v>0</v>
      </c>
    </row>
    <row r="321" spans="1:26" ht="14.1" customHeight="1">
      <c r="A321" s="144">
        <v>327</v>
      </c>
      <c r="B321" s="160" t="s">
        <v>242</v>
      </c>
      <c r="C321" s="160" t="s">
        <v>643</v>
      </c>
      <c r="D321" s="503" t="s">
        <v>98</v>
      </c>
      <c r="E321" s="702" t="s">
        <v>330</v>
      </c>
      <c r="F321" s="160" t="s">
        <v>313</v>
      </c>
      <c r="G321" s="460" t="s">
        <v>881</v>
      </c>
      <c r="H321" s="534" t="s">
        <v>375</v>
      </c>
      <c r="I321" s="582" t="str">
        <f>VLOOKUP(H321,'9a-Typen vloeren'!$A$10:$B$40,2,FALSE)</f>
        <v>n.v.t.</v>
      </c>
      <c r="J321" s="588">
        <v>12.399999618530273</v>
      </c>
      <c r="K321" s="433">
        <f t="shared" si="20"/>
        <v>0</v>
      </c>
      <c r="L321" s="433">
        <f t="shared" si="21"/>
        <v>0</v>
      </c>
      <c r="M321" s="433">
        <f t="shared" si="22"/>
        <v>0</v>
      </c>
      <c r="N321" s="672"/>
      <c r="O321" s="729">
        <f>IF(N321="",0,N321*K321/'9b-Vloeronderhoud'!$F$4)</f>
        <v>0</v>
      </c>
      <c r="P321" s="672"/>
      <c r="Q321" s="729" t="e">
        <f>IF(O321="",0,P321*L321/'9b-Vloeronderhoud'!$F$6)</f>
        <v>#DIV/0!</v>
      </c>
      <c r="R321" s="449">
        <v>1</v>
      </c>
      <c r="S321" s="672" t="s">
        <v>179</v>
      </c>
      <c r="T321" s="161">
        <f t="shared" si="23"/>
        <v>0</v>
      </c>
      <c r="U321" s="162">
        <f>IF(S321="nio",0,IF(S321&gt;0,VLOOKUP(G321,'3-Productie normen'!A:K,VLOOKUP(S321,'3-Productie normen'!L:N,3,FALSE),FALSE)))</f>
        <v>0</v>
      </c>
      <c r="V321" s="162">
        <f>VLOOKUP(G321,'3-Productie normen'!A:K,10,FALSE)</f>
        <v>5262.809993648526</v>
      </c>
      <c r="W321" s="163">
        <f>VLOOKUP(G321,'3-Productie normen'!A:K,11,FALSE)</f>
        <v>0</v>
      </c>
      <c r="X321" s="163"/>
      <c r="Z321" s="129">
        <f t="shared" si="24"/>
        <v>0</v>
      </c>
    </row>
    <row r="322" spans="1:26" ht="14.1" customHeight="1">
      <c r="A322" s="144">
        <v>328</v>
      </c>
      <c r="B322" s="160" t="s">
        <v>242</v>
      </c>
      <c r="C322" s="160" t="s">
        <v>643</v>
      </c>
      <c r="D322" s="503" t="s">
        <v>98</v>
      </c>
      <c r="E322" s="702" t="s">
        <v>331</v>
      </c>
      <c r="F322" s="160" t="s">
        <v>346</v>
      </c>
      <c r="G322" s="460" t="s">
        <v>881</v>
      </c>
      <c r="H322" s="534" t="s">
        <v>375</v>
      </c>
      <c r="I322" s="582" t="str">
        <f>VLOOKUP(H322,'9a-Typen vloeren'!$A$10:$B$40,2,FALSE)</f>
        <v>n.v.t.</v>
      </c>
      <c r="J322" s="588">
        <v>5</v>
      </c>
      <c r="K322" s="433">
        <f t="shared" si="20"/>
        <v>0</v>
      </c>
      <c r="L322" s="433">
        <f t="shared" si="21"/>
        <v>0</v>
      </c>
      <c r="M322" s="433">
        <f t="shared" si="22"/>
        <v>0</v>
      </c>
      <c r="N322" s="672"/>
      <c r="O322" s="729">
        <f>IF(N322="",0,N322*K322/'9b-Vloeronderhoud'!$F$4)</f>
        <v>0</v>
      </c>
      <c r="P322" s="672"/>
      <c r="Q322" s="729" t="e">
        <f>IF(O322="",0,P322*L322/'9b-Vloeronderhoud'!$F$6)</f>
        <v>#DIV/0!</v>
      </c>
      <c r="R322" s="449">
        <v>1</v>
      </c>
      <c r="S322" s="672" t="s">
        <v>179</v>
      </c>
      <c r="T322" s="161">
        <f t="shared" si="23"/>
        <v>0</v>
      </c>
      <c r="U322" s="162">
        <f>IF(S322="nio",0,IF(S322&gt;0,VLOOKUP(G322,'3-Productie normen'!A:K,VLOOKUP(S322,'3-Productie normen'!L:N,3,FALSE),FALSE)))</f>
        <v>0</v>
      </c>
      <c r="V322" s="162">
        <f>VLOOKUP(G322,'3-Productie normen'!A:K,10,FALSE)</f>
        <v>5262.809993648526</v>
      </c>
      <c r="W322" s="163">
        <f>VLOOKUP(G322,'3-Productie normen'!A:K,11,FALSE)</f>
        <v>0</v>
      </c>
      <c r="X322" s="163"/>
      <c r="Z322" s="129">
        <f t="shared" si="24"/>
        <v>0</v>
      </c>
    </row>
    <row r="323" spans="1:26" ht="14.1" customHeight="1">
      <c r="A323" s="144">
        <v>329</v>
      </c>
      <c r="B323" s="160" t="s">
        <v>423</v>
      </c>
      <c r="C323" s="160" t="s">
        <v>643</v>
      </c>
      <c r="D323" s="503" t="s">
        <v>98</v>
      </c>
      <c r="E323" s="702" t="s">
        <v>406</v>
      </c>
      <c r="F323" s="160" t="s">
        <v>645</v>
      </c>
      <c r="G323" s="303" t="s">
        <v>1</v>
      </c>
      <c r="H323" s="534" t="s">
        <v>101</v>
      </c>
      <c r="I323" s="582" t="str">
        <f>VLOOKUP(H323,'9a-Typen vloeren'!$A$10:$B$40,2,FALSE)</f>
        <v>Schrobben</v>
      </c>
      <c r="J323" s="588">
        <v>22</v>
      </c>
      <c r="K323" s="433">
        <f t="shared" si="20"/>
        <v>0</v>
      </c>
      <c r="L323" s="433">
        <f t="shared" si="21"/>
        <v>22</v>
      </c>
      <c r="M323" s="433">
        <f t="shared" si="22"/>
        <v>0</v>
      </c>
      <c r="N323" s="672"/>
      <c r="O323" s="729">
        <f>IF(N323="",0,N323*K323/'9b-Vloeronderhoud'!$F$4)</f>
        <v>0</v>
      </c>
      <c r="P323" s="672"/>
      <c r="Q323" s="729" t="e">
        <f>IF(O323="",0,P323*L323/'9b-Vloeronderhoud'!$F$6)</f>
        <v>#DIV/0!</v>
      </c>
      <c r="R323" s="449">
        <v>1</v>
      </c>
      <c r="S323" s="672">
        <v>80</v>
      </c>
      <c r="T323" s="161" t="e">
        <f t="shared" si="23"/>
        <v>#DIV/0!</v>
      </c>
      <c r="U323" s="162">
        <f>IF(S323="nio",0,IF(S323&gt;0,VLOOKUP(G323,'3-Productie normen'!A:K,VLOOKUP(S323,'3-Productie normen'!L:N,3,FALSE),FALSE)))</f>
        <v>0</v>
      </c>
      <c r="V323" s="162">
        <f>VLOOKUP(G323,'3-Productie normen'!A:K,10,FALSE)</f>
        <v>128.4</v>
      </c>
      <c r="W323" s="163">
        <f>VLOOKUP(G323,'3-Productie normen'!A:K,11,FALSE)</f>
        <v>0</v>
      </c>
      <c r="X323" s="163"/>
      <c r="Z323" s="129">
        <f t="shared" si="24"/>
        <v>1760</v>
      </c>
    </row>
    <row r="324" spans="1:26" ht="14.1" customHeight="1">
      <c r="A324" s="144">
        <v>330</v>
      </c>
      <c r="B324" s="160" t="s">
        <v>423</v>
      </c>
      <c r="C324" s="160" t="s">
        <v>643</v>
      </c>
      <c r="D324" s="503" t="s">
        <v>98</v>
      </c>
      <c r="E324" s="702" t="s">
        <v>407</v>
      </c>
      <c r="F324" s="160" t="s">
        <v>619</v>
      </c>
      <c r="G324" s="122" t="s">
        <v>18</v>
      </c>
      <c r="H324" s="534" t="s">
        <v>954</v>
      </c>
      <c r="I324" s="582" t="str">
        <f>VLOOKUP(H324,'9a-Typen vloeren'!$A$10:$B$40,2,FALSE)</f>
        <v>zie kwaliteitsontwerp</v>
      </c>
      <c r="J324" s="588">
        <v>10</v>
      </c>
      <c r="K324" s="433">
        <f t="shared" si="20"/>
        <v>0</v>
      </c>
      <c r="L324" s="433">
        <f t="shared" si="21"/>
        <v>0</v>
      </c>
      <c r="M324" s="433">
        <f t="shared" si="22"/>
        <v>0</v>
      </c>
      <c r="N324" s="672"/>
      <c r="O324" s="729">
        <f>IF(N324="",0,N324*K324/'9b-Vloeronderhoud'!$F$4)</f>
        <v>0</v>
      </c>
      <c r="P324" s="672"/>
      <c r="Q324" s="729" t="e">
        <f>IF(O324="",0,P324*L324/'9b-Vloeronderhoud'!$F$6)</f>
        <v>#DIV/0!</v>
      </c>
      <c r="R324" s="449">
        <v>1</v>
      </c>
      <c r="S324" s="672">
        <v>80</v>
      </c>
      <c r="T324" s="161" t="e">
        <f t="shared" si="23"/>
        <v>#DIV/0!</v>
      </c>
      <c r="U324" s="162">
        <f>IF(S324="nio",0,IF(S324&gt;0,VLOOKUP(G324,'3-Productie normen'!A:K,VLOOKUP(S324,'3-Productie normen'!L:N,3,FALSE),FALSE)))</f>
        <v>0</v>
      </c>
      <c r="V324" s="162">
        <f>VLOOKUP(G324,'3-Productie normen'!A:K,10,FALSE)</f>
        <v>1859.5880019121171</v>
      </c>
      <c r="W324" s="163">
        <f>VLOOKUP(G324,'3-Productie normen'!A:K,11,FALSE)</f>
        <v>0</v>
      </c>
      <c r="X324" s="163"/>
      <c r="Z324" s="129">
        <f t="shared" si="24"/>
        <v>800</v>
      </c>
    </row>
    <row r="325" spans="1:26" ht="14.1" customHeight="1">
      <c r="A325" s="144">
        <v>331</v>
      </c>
      <c r="B325" s="160" t="s">
        <v>423</v>
      </c>
      <c r="C325" s="303" t="s">
        <v>643</v>
      </c>
      <c r="D325" s="304" t="s">
        <v>98</v>
      </c>
      <c r="E325" s="694" t="s">
        <v>646</v>
      </c>
      <c r="F325" s="303" t="s">
        <v>302</v>
      </c>
      <c r="G325" s="126" t="s">
        <v>18</v>
      </c>
      <c r="H325" s="534" t="s">
        <v>954</v>
      </c>
      <c r="I325" s="582" t="str">
        <f>VLOOKUP(H325,'9a-Typen vloeren'!$A$10:$B$40,2,FALSE)</f>
        <v>zie kwaliteitsontwerp</v>
      </c>
      <c r="J325" s="588">
        <v>2</v>
      </c>
      <c r="K325" s="433">
        <f t="shared" ref="K325:K388" si="25">IF(G325="niet in onderhoud",0,IF(I325="sprayen/ conserveren",J325,0))</f>
        <v>0</v>
      </c>
      <c r="L325" s="433">
        <f t="shared" ref="L325:L388" si="26">IF(G325="niet in onderhoud",0,IF(I325="schrobben",J325,0))</f>
        <v>0</v>
      </c>
      <c r="M325" s="433">
        <f t="shared" ref="M325:M388" si="27">IF(G325="niet in onderhoud",0,IF(I325="Sproei/extraheren",J325,0))</f>
        <v>0</v>
      </c>
      <c r="N325" s="672"/>
      <c r="O325" s="729">
        <f>IF(N325="",0,N325*K325/'9b-Vloeronderhoud'!$F$4)</f>
        <v>0</v>
      </c>
      <c r="P325" s="672"/>
      <c r="Q325" s="729" t="e">
        <f>IF(O325="",0,P325*L325/'9b-Vloeronderhoud'!$F$6)</f>
        <v>#DIV/0!</v>
      </c>
      <c r="R325" s="449">
        <v>1</v>
      </c>
      <c r="S325" s="672">
        <v>80</v>
      </c>
      <c r="T325" s="161" t="e">
        <f t="shared" si="23"/>
        <v>#DIV/0!</v>
      </c>
      <c r="U325" s="162">
        <f>IF(S325="nio",0,IF(S325&gt;0,VLOOKUP(G325,'3-Productie normen'!A:K,VLOOKUP(S325,'3-Productie normen'!L:N,3,FALSE),FALSE)))</f>
        <v>0</v>
      </c>
      <c r="V325" s="162">
        <f>VLOOKUP(G325,'3-Productie normen'!A:K,10,FALSE)</f>
        <v>1859.5880019121171</v>
      </c>
      <c r="W325" s="163">
        <f>VLOOKUP(G325,'3-Productie normen'!A:K,11,FALSE)</f>
        <v>0</v>
      </c>
      <c r="X325" s="163"/>
      <c r="Z325" s="129">
        <f t="shared" si="24"/>
        <v>160</v>
      </c>
    </row>
    <row r="326" spans="1:26" ht="14.1" customHeight="1">
      <c r="A326" s="144">
        <v>332</v>
      </c>
      <c r="B326" s="160" t="s">
        <v>423</v>
      </c>
      <c r="C326" s="303" t="s">
        <v>643</v>
      </c>
      <c r="D326" s="304" t="s">
        <v>98</v>
      </c>
      <c r="E326" s="694" t="s">
        <v>408</v>
      </c>
      <c r="F326" s="303" t="s">
        <v>619</v>
      </c>
      <c r="G326" s="460" t="s">
        <v>18</v>
      </c>
      <c r="H326" s="534" t="s">
        <v>954</v>
      </c>
      <c r="I326" s="582" t="str">
        <f>VLOOKUP(H326,'9a-Typen vloeren'!$A$10:$B$40,2,FALSE)</f>
        <v>zie kwaliteitsontwerp</v>
      </c>
      <c r="J326" s="588">
        <v>10</v>
      </c>
      <c r="K326" s="433">
        <f t="shared" si="25"/>
        <v>0</v>
      </c>
      <c r="L326" s="433">
        <f t="shared" si="26"/>
        <v>0</v>
      </c>
      <c r="M326" s="433">
        <f t="shared" si="27"/>
        <v>0</v>
      </c>
      <c r="N326" s="672"/>
      <c r="O326" s="729">
        <f>IF(N326="",0,N326*K326/'9b-Vloeronderhoud'!$F$4)</f>
        <v>0</v>
      </c>
      <c r="P326" s="672"/>
      <c r="Q326" s="729" t="e">
        <f>IF(O326="",0,P326*L326/'9b-Vloeronderhoud'!$F$6)</f>
        <v>#DIV/0!</v>
      </c>
      <c r="R326" s="449">
        <v>1</v>
      </c>
      <c r="S326" s="672">
        <v>80</v>
      </c>
      <c r="T326" s="161" t="e">
        <f t="shared" si="23"/>
        <v>#DIV/0!</v>
      </c>
      <c r="U326" s="162">
        <f>IF(S326="nio",0,IF(S326&gt;0,VLOOKUP(G326,'3-Productie normen'!A:K,VLOOKUP(S326,'3-Productie normen'!L:N,3,FALSE),FALSE)))</f>
        <v>0</v>
      </c>
      <c r="V326" s="162">
        <f>VLOOKUP(G326,'3-Productie normen'!A:K,10,FALSE)</f>
        <v>1859.5880019121171</v>
      </c>
      <c r="W326" s="163">
        <f>VLOOKUP(G326,'3-Productie normen'!A:K,11,FALSE)</f>
        <v>0</v>
      </c>
      <c r="X326" s="163"/>
      <c r="Z326" s="129">
        <f t="shared" si="24"/>
        <v>800</v>
      </c>
    </row>
    <row r="327" spans="1:26" ht="14.1" customHeight="1">
      <c r="A327" s="144">
        <v>333</v>
      </c>
      <c r="B327" s="160" t="s">
        <v>423</v>
      </c>
      <c r="C327" s="303" t="s">
        <v>643</v>
      </c>
      <c r="D327" s="304" t="s">
        <v>98</v>
      </c>
      <c r="E327" s="694" t="s">
        <v>647</v>
      </c>
      <c r="F327" s="303" t="s">
        <v>302</v>
      </c>
      <c r="G327" s="303" t="s">
        <v>18</v>
      </c>
      <c r="H327" s="534" t="s">
        <v>954</v>
      </c>
      <c r="I327" s="582" t="str">
        <f>VLOOKUP(H327,'9a-Typen vloeren'!$A$10:$B$40,2,FALSE)</f>
        <v>zie kwaliteitsontwerp</v>
      </c>
      <c r="J327" s="588">
        <v>2</v>
      </c>
      <c r="K327" s="433">
        <f t="shared" si="25"/>
        <v>0</v>
      </c>
      <c r="L327" s="433">
        <f t="shared" si="26"/>
        <v>0</v>
      </c>
      <c r="M327" s="433">
        <f t="shared" si="27"/>
        <v>0</v>
      </c>
      <c r="N327" s="672"/>
      <c r="O327" s="729">
        <f>IF(N327="",0,N327*K327/'9b-Vloeronderhoud'!$F$4)</f>
        <v>0</v>
      </c>
      <c r="P327" s="672"/>
      <c r="Q327" s="729" t="e">
        <f>IF(O327="",0,P327*L327/'9b-Vloeronderhoud'!$F$6)</f>
        <v>#DIV/0!</v>
      </c>
      <c r="R327" s="449">
        <v>1</v>
      </c>
      <c r="S327" s="672">
        <v>80</v>
      </c>
      <c r="T327" s="161" t="e">
        <f t="shared" si="23"/>
        <v>#DIV/0!</v>
      </c>
      <c r="U327" s="162">
        <f>IF(S327="nio",0,IF(S327&gt;0,VLOOKUP(G327,'3-Productie normen'!A:K,VLOOKUP(S327,'3-Productie normen'!L:N,3,FALSE),FALSE)))</f>
        <v>0</v>
      </c>
      <c r="V327" s="162">
        <f>VLOOKUP(G327,'3-Productie normen'!A:K,10,FALSE)</f>
        <v>1859.5880019121171</v>
      </c>
      <c r="W327" s="163">
        <f>VLOOKUP(G327,'3-Productie normen'!A:K,11,FALSE)</f>
        <v>0</v>
      </c>
      <c r="X327" s="163"/>
      <c r="Z327" s="129">
        <f t="shared" si="24"/>
        <v>160</v>
      </c>
    </row>
    <row r="328" spans="1:26" ht="14.1" customHeight="1">
      <c r="A328" s="144">
        <v>334</v>
      </c>
      <c r="B328" s="160" t="s">
        <v>423</v>
      </c>
      <c r="C328" s="303" t="s">
        <v>643</v>
      </c>
      <c r="D328" s="304" t="s">
        <v>98</v>
      </c>
      <c r="E328" s="694" t="s">
        <v>414</v>
      </c>
      <c r="F328" s="303" t="s">
        <v>302</v>
      </c>
      <c r="G328" s="122" t="s">
        <v>18</v>
      </c>
      <c r="H328" s="534" t="s">
        <v>954</v>
      </c>
      <c r="I328" s="582" t="str">
        <f>VLOOKUP(H328,'9a-Typen vloeren'!$A$10:$B$40,2,FALSE)</f>
        <v>zie kwaliteitsontwerp</v>
      </c>
      <c r="J328" s="588">
        <v>3</v>
      </c>
      <c r="K328" s="433">
        <f t="shared" si="25"/>
        <v>0</v>
      </c>
      <c r="L328" s="433">
        <f t="shared" si="26"/>
        <v>0</v>
      </c>
      <c r="M328" s="433">
        <f t="shared" si="27"/>
        <v>0</v>
      </c>
      <c r="N328" s="672"/>
      <c r="O328" s="729">
        <f>IF(N328="",0,N328*K328/'9b-Vloeronderhoud'!$F$4)</f>
        <v>0</v>
      </c>
      <c r="P328" s="672"/>
      <c r="Q328" s="729" t="e">
        <f>IF(O328="",0,P328*L328/'9b-Vloeronderhoud'!$F$6)</f>
        <v>#DIV/0!</v>
      </c>
      <c r="R328" s="449">
        <v>1</v>
      </c>
      <c r="S328" s="672">
        <v>80</v>
      </c>
      <c r="T328" s="161" t="e">
        <f t="shared" si="23"/>
        <v>#DIV/0!</v>
      </c>
      <c r="U328" s="162">
        <f>IF(S328="nio",0,IF(S328&gt;0,VLOOKUP(G328,'3-Productie normen'!A:K,VLOOKUP(S328,'3-Productie normen'!L:N,3,FALSE),FALSE)))</f>
        <v>0</v>
      </c>
      <c r="V328" s="162">
        <f>VLOOKUP(G328,'3-Productie normen'!A:K,10,FALSE)</f>
        <v>1859.5880019121171</v>
      </c>
      <c r="W328" s="163">
        <f>VLOOKUP(G328,'3-Productie normen'!A:K,11,FALSE)</f>
        <v>0</v>
      </c>
      <c r="X328" s="163"/>
      <c r="Z328" s="129">
        <f t="shared" si="24"/>
        <v>240</v>
      </c>
    </row>
    <row r="329" spans="1:26" ht="14.1" customHeight="1">
      <c r="A329" s="144">
        <v>335</v>
      </c>
      <c r="B329" s="160" t="s">
        <v>423</v>
      </c>
      <c r="C329" s="303" t="s">
        <v>643</v>
      </c>
      <c r="D329" s="304" t="s">
        <v>98</v>
      </c>
      <c r="E329" s="694" t="s">
        <v>415</v>
      </c>
      <c r="F329" s="303" t="s">
        <v>304</v>
      </c>
      <c r="G329" s="4" t="s">
        <v>18</v>
      </c>
      <c r="H329" s="534" t="s">
        <v>954</v>
      </c>
      <c r="I329" s="582" t="str">
        <f>VLOOKUP(H329,'9a-Typen vloeren'!$A$10:$B$40,2,FALSE)</f>
        <v>zie kwaliteitsontwerp</v>
      </c>
      <c r="J329" s="588">
        <v>3</v>
      </c>
      <c r="K329" s="433">
        <f t="shared" si="25"/>
        <v>0</v>
      </c>
      <c r="L329" s="433">
        <f t="shared" si="26"/>
        <v>0</v>
      </c>
      <c r="M329" s="433">
        <f t="shared" si="27"/>
        <v>0</v>
      </c>
      <c r="N329" s="672"/>
      <c r="O329" s="729">
        <f>IF(N329="",0,N329*K329/'9b-Vloeronderhoud'!$F$4)</f>
        <v>0</v>
      </c>
      <c r="P329" s="672"/>
      <c r="Q329" s="729" t="e">
        <f>IF(O329="",0,P329*L329/'9b-Vloeronderhoud'!$F$6)</f>
        <v>#DIV/0!</v>
      </c>
      <c r="R329" s="449">
        <v>1</v>
      </c>
      <c r="S329" s="672">
        <v>80</v>
      </c>
      <c r="T329" s="161" t="e">
        <f t="shared" si="23"/>
        <v>#DIV/0!</v>
      </c>
      <c r="U329" s="162">
        <f>IF(S329="nio",0,IF(S329&gt;0,VLOOKUP(G329,'3-Productie normen'!A:K,VLOOKUP(S329,'3-Productie normen'!L:N,3,FALSE),FALSE)))</f>
        <v>0</v>
      </c>
      <c r="V329" s="162">
        <f>VLOOKUP(G329,'3-Productie normen'!A:K,10,FALSE)</f>
        <v>1859.5880019121171</v>
      </c>
      <c r="W329" s="163">
        <f>VLOOKUP(G329,'3-Productie normen'!A:K,11,FALSE)</f>
        <v>0</v>
      </c>
      <c r="X329" s="163"/>
      <c r="Z329" s="129">
        <f t="shared" si="24"/>
        <v>240</v>
      </c>
    </row>
    <row r="330" spans="1:26" ht="14.1" customHeight="1">
      <c r="A330" s="144">
        <v>336</v>
      </c>
      <c r="B330" s="160" t="s">
        <v>423</v>
      </c>
      <c r="C330" s="303" t="s">
        <v>643</v>
      </c>
      <c r="D330" s="304" t="s">
        <v>98</v>
      </c>
      <c r="E330" s="694" t="s">
        <v>416</v>
      </c>
      <c r="F330" s="303" t="s">
        <v>645</v>
      </c>
      <c r="G330" s="122" t="s">
        <v>1</v>
      </c>
      <c r="H330" s="534" t="s">
        <v>101</v>
      </c>
      <c r="I330" s="582" t="str">
        <f>VLOOKUP(H330,'9a-Typen vloeren'!$A$10:$B$40,2,FALSE)</f>
        <v>Schrobben</v>
      </c>
      <c r="J330" s="588">
        <v>28</v>
      </c>
      <c r="K330" s="433">
        <f t="shared" si="25"/>
        <v>0</v>
      </c>
      <c r="L330" s="433">
        <f t="shared" si="26"/>
        <v>28</v>
      </c>
      <c r="M330" s="433">
        <f t="shared" si="27"/>
        <v>0</v>
      </c>
      <c r="N330" s="672"/>
      <c r="O330" s="729">
        <f>IF(N330="",0,N330*K330/'9b-Vloeronderhoud'!$F$4)</f>
        <v>0</v>
      </c>
      <c r="P330" s="672"/>
      <c r="Q330" s="729" t="e">
        <f>IF(O330="",0,P330*L330/'9b-Vloeronderhoud'!$F$6)</f>
        <v>#DIV/0!</v>
      </c>
      <c r="R330" s="449">
        <v>1</v>
      </c>
      <c r="S330" s="672">
        <v>80</v>
      </c>
      <c r="T330" s="161" t="e">
        <f t="shared" ref="T330:T393" si="28">IF(S330="nio",0,IF(S330&gt;0,S330*J330/U330,0))*R330</f>
        <v>#DIV/0!</v>
      </c>
      <c r="U330" s="162">
        <f>IF(S330="nio",0,IF(S330&gt;0,VLOOKUP(G330,'3-Productie normen'!A:K,VLOOKUP(S330,'3-Productie normen'!L:N,3,FALSE),FALSE)))</f>
        <v>0</v>
      </c>
      <c r="V330" s="162">
        <f>VLOOKUP(G330,'3-Productie normen'!A:K,10,FALSE)</f>
        <v>128.4</v>
      </c>
      <c r="W330" s="163">
        <f>VLOOKUP(G330,'3-Productie normen'!A:K,11,FALSE)</f>
        <v>0</v>
      </c>
      <c r="X330" s="163"/>
      <c r="Z330" s="129">
        <f t="shared" ref="Z330:Z393" si="29">SUM(S330:S330)*J330</f>
        <v>2240</v>
      </c>
    </row>
    <row r="331" spans="1:26" ht="14.1" customHeight="1">
      <c r="A331" s="144">
        <v>337</v>
      </c>
      <c r="B331" s="160" t="s">
        <v>423</v>
      </c>
      <c r="C331" s="303" t="s">
        <v>643</v>
      </c>
      <c r="D331" s="304" t="s">
        <v>98</v>
      </c>
      <c r="E331" s="694" t="s">
        <v>417</v>
      </c>
      <c r="F331" s="303" t="s">
        <v>548</v>
      </c>
      <c r="G331" s="642" t="s">
        <v>548</v>
      </c>
      <c r="H331" s="534" t="s">
        <v>649</v>
      </c>
      <c r="I331" s="582" t="str">
        <f>VLOOKUP(H331,'9a-Typen vloeren'!$A$10:$B$40,2,FALSE)</f>
        <v>Schrobben</v>
      </c>
      <c r="J331" s="588">
        <v>247</v>
      </c>
      <c r="K331" s="433">
        <f t="shared" si="25"/>
        <v>0</v>
      </c>
      <c r="L331" s="433">
        <f t="shared" si="26"/>
        <v>247</v>
      </c>
      <c r="M331" s="433">
        <f t="shared" si="27"/>
        <v>0</v>
      </c>
      <c r="N331" s="672"/>
      <c r="O331" s="729">
        <f>IF(N331="",0,N331*K331/'9b-Vloeronderhoud'!$F$4)</f>
        <v>0</v>
      </c>
      <c r="P331" s="672">
        <v>3</v>
      </c>
      <c r="Q331" s="729" t="e">
        <f>IF(O331="",0,P331*L331/'9b-Vloeronderhoud'!$F$6)</f>
        <v>#DIV/0!</v>
      </c>
      <c r="R331" s="449">
        <v>1</v>
      </c>
      <c r="S331" s="672">
        <v>80</v>
      </c>
      <c r="T331" s="161" t="e">
        <f t="shared" si="28"/>
        <v>#DIV/0!</v>
      </c>
      <c r="U331" s="162">
        <f>IF(S331="nio",0,IF(S331&gt;0,VLOOKUP(G331,'3-Productie normen'!A:K,VLOOKUP(S331,'3-Productie normen'!L:N,3,FALSE),FALSE)))</f>
        <v>0</v>
      </c>
      <c r="V331" s="162">
        <f>VLOOKUP(G331,'3-Productie normen'!A:K,10,FALSE)</f>
        <v>994.10000000000014</v>
      </c>
      <c r="W331" s="163">
        <f>VLOOKUP(G331,'3-Productie normen'!A:K,11,FALSE)</f>
        <v>0</v>
      </c>
      <c r="X331" s="163"/>
      <c r="Z331" s="129">
        <f t="shared" si="29"/>
        <v>19760</v>
      </c>
    </row>
    <row r="332" spans="1:26" ht="14.1" customHeight="1">
      <c r="A332" s="144">
        <v>338</v>
      </c>
      <c r="B332" s="160" t="s">
        <v>423</v>
      </c>
      <c r="C332" s="303" t="s">
        <v>643</v>
      </c>
      <c r="D332" s="304" t="s">
        <v>98</v>
      </c>
      <c r="E332" s="694" t="s">
        <v>648</v>
      </c>
      <c r="F332" s="303" t="s">
        <v>348</v>
      </c>
      <c r="G332" s="460" t="s">
        <v>881</v>
      </c>
      <c r="H332" s="534" t="s">
        <v>649</v>
      </c>
      <c r="I332" s="582" t="str">
        <f>VLOOKUP(H332,'9a-Typen vloeren'!$A$10:$B$40,2,FALSE)</f>
        <v>Schrobben</v>
      </c>
      <c r="J332" s="588">
        <v>15.399999618530273</v>
      </c>
      <c r="K332" s="433">
        <f t="shared" si="25"/>
        <v>0</v>
      </c>
      <c r="L332" s="433">
        <f t="shared" si="26"/>
        <v>0</v>
      </c>
      <c r="M332" s="433">
        <f t="shared" si="27"/>
        <v>0</v>
      </c>
      <c r="N332" s="672"/>
      <c r="O332" s="729">
        <f>IF(N332="",0,N332*K332/'9b-Vloeronderhoud'!$F$4)</f>
        <v>0</v>
      </c>
      <c r="P332" s="672"/>
      <c r="Q332" s="729" t="e">
        <f>IF(O332="",0,P332*L332/'9b-Vloeronderhoud'!$F$6)</f>
        <v>#DIV/0!</v>
      </c>
      <c r="R332" s="449">
        <v>1</v>
      </c>
      <c r="S332" s="672" t="s">
        <v>179</v>
      </c>
      <c r="T332" s="161">
        <f t="shared" si="28"/>
        <v>0</v>
      </c>
      <c r="U332" s="162">
        <f>IF(S332="nio",0,IF(S332&gt;0,VLOOKUP(G332,'3-Productie normen'!A:K,VLOOKUP(S332,'3-Productie normen'!L:N,3,FALSE),FALSE)))</f>
        <v>0</v>
      </c>
      <c r="V332" s="162">
        <f>VLOOKUP(G332,'3-Productie normen'!A:K,10,FALSE)</f>
        <v>5262.809993648526</v>
      </c>
      <c r="W332" s="163">
        <f>VLOOKUP(G332,'3-Productie normen'!A:K,11,FALSE)</f>
        <v>0</v>
      </c>
      <c r="X332" s="163"/>
      <c r="Z332" s="129">
        <f t="shared" si="29"/>
        <v>0</v>
      </c>
    </row>
    <row r="333" spans="1:26" ht="14.1" customHeight="1">
      <c r="A333" s="144">
        <v>339</v>
      </c>
      <c r="B333" s="160" t="s">
        <v>423</v>
      </c>
      <c r="C333" s="303" t="s">
        <v>643</v>
      </c>
      <c r="D333" s="304" t="s">
        <v>98</v>
      </c>
      <c r="E333" s="694" t="s">
        <v>418</v>
      </c>
      <c r="F333" s="303" t="s">
        <v>282</v>
      </c>
      <c r="G333" s="460" t="s">
        <v>881</v>
      </c>
      <c r="H333" s="534" t="s">
        <v>100</v>
      </c>
      <c r="I333" s="582" t="str">
        <f>VLOOKUP(H333,'9a-Typen vloeren'!$A$10:$B$40,2,FALSE)</f>
        <v>Sprayen/ conserveren</v>
      </c>
      <c r="J333" s="588">
        <v>10.800000190734863</v>
      </c>
      <c r="K333" s="433">
        <f t="shared" si="25"/>
        <v>0</v>
      </c>
      <c r="L333" s="433">
        <f t="shared" si="26"/>
        <v>0</v>
      </c>
      <c r="M333" s="433">
        <f t="shared" si="27"/>
        <v>0</v>
      </c>
      <c r="N333" s="672"/>
      <c r="O333" s="729">
        <f>IF(N333="",0,N333*K333/'9b-Vloeronderhoud'!$F$4)</f>
        <v>0</v>
      </c>
      <c r="P333" s="672"/>
      <c r="Q333" s="729" t="e">
        <f>IF(O333="",0,P333*L333/'9b-Vloeronderhoud'!$F$6)</f>
        <v>#DIV/0!</v>
      </c>
      <c r="R333" s="449">
        <v>1</v>
      </c>
      <c r="S333" s="672" t="s">
        <v>179</v>
      </c>
      <c r="T333" s="161">
        <f t="shared" si="28"/>
        <v>0</v>
      </c>
      <c r="U333" s="162">
        <f>IF(S333="nio",0,IF(S333&gt;0,VLOOKUP(G333,'3-Productie normen'!A:K,VLOOKUP(S333,'3-Productie normen'!L:N,3,FALSE),FALSE)))</f>
        <v>0</v>
      </c>
      <c r="V333" s="162">
        <f>VLOOKUP(G333,'3-Productie normen'!A:K,10,FALSE)</f>
        <v>5262.809993648526</v>
      </c>
      <c r="W333" s="163">
        <f>VLOOKUP(G333,'3-Productie normen'!A:K,11,FALSE)</f>
        <v>0</v>
      </c>
      <c r="X333" s="163"/>
      <c r="Z333" s="129">
        <f t="shared" si="29"/>
        <v>0</v>
      </c>
    </row>
    <row r="334" spans="1:26" ht="14.1" customHeight="1">
      <c r="A334" s="144">
        <v>340</v>
      </c>
      <c r="B334" s="160" t="s">
        <v>423</v>
      </c>
      <c r="C334" s="303" t="s">
        <v>643</v>
      </c>
      <c r="D334" s="304" t="s">
        <v>98</v>
      </c>
      <c r="E334" s="694" t="s">
        <v>521</v>
      </c>
      <c r="F334" s="303" t="s">
        <v>620</v>
      </c>
      <c r="G334" s="460" t="s">
        <v>881</v>
      </c>
      <c r="H334" s="534" t="s">
        <v>375</v>
      </c>
      <c r="I334" s="582" t="str">
        <f>VLOOKUP(H334,'9a-Typen vloeren'!$A$10:$B$40,2,FALSE)</f>
        <v>n.v.t.</v>
      </c>
      <c r="J334" s="588">
        <v>6</v>
      </c>
      <c r="K334" s="433">
        <f t="shared" si="25"/>
        <v>0</v>
      </c>
      <c r="L334" s="433">
        <f t="shared" si="26"/>
        <v>0</v>
      </c>
      <c r="M334" s="433">
        <f t="shared" si="27"/>
        <v>0</v>
      </c>
      <c r="N334" s="672"/>
      <c r="O334" s="729">
        <f>IF(N334="",0,N334*K334/'9b-Vloeronderhoud'!$F$4)</f>
        <v>0</v>
      </c>
      <c r="P334" s="672"/>
      <c r="Q334" s="729" t="e">
        <f>IF(O334="",0,P334*L334/'9b-Vloeronderhoud'!$F$6)</f>
        <v>#DIV/0!</v>
      </c>
      <c r="R334" s="449">
        <v>1</v>
      </c>
      <c r="S334" s="672" t="s">
        <v>179</v>
      </c>
      <c r="T334" s="161">
        <f t="shared" si="28"/>
        <v>0</v>
      </c>
      <c r="U334" s="162">
        <f>IF(S334="nio",0,IF(S334&gt;0,VLOOKUP(G334,'3-Productie normen'!A:K,VLOOKUP(S334,'3-Productie normen'!L:N,3,FALSE),FALSE)))</f>
        <v>0</v>
      </c>
      <c r="V334" s="162">
        <f>VLOOKUP(G334,'3-Productie normen'!A:K,10,FALSE)</f>
        <v>5262.809993648526</v>
      </c>
      <c r="W334" s="163">
        <f>VLOOKUP(G334,'3-Productie normen'!A:K,11,FALSE)</f>
        <v>0</v>
      </c>
      <c r="X334" s="163"/>
      <c r="Z334" s="129">
        <f t="shared" si="29"/>
        <v>0</v>
      </c>
    </row>
    <row r="335" spans="1:26" ht="14.1" customHeight="1">
      <c r="A335" s="144">
        <v>341</v>
      </c>
      <c r="B335" s="160" t="s">
        <v>423</v>
      </c>
      <c r="C335" s="303" t="s">
        <v>643</v>
      </c>
      <c r="D335" s="304" t="s">
        <v>98</v>
      </c>
      <c r="E335" s="694" t="s">
        <v>522</v>
      </c>
      <c r="F335" s="303" t="s">
        <v>99</v>
      </c>
      <c r="G335" s="303" t="s">
        <v>99</v>
      </c>
      <c r="H335" s="303" t="s">
        <v>332</v>
      </c>
      <c r="I335" s="582" t="str">
        <f>VLOOKUP(H335,'9a-Typen vloeren'!$A$10:$B$40,2,FALSE)</f>
        <v>Sproei/extraheren</v>
      </c>
      <c r="J335" s="588">
        <v>5</v>
      </c>
      <c r="K335" s="433">
        <f t="shared" si="25"/>
        <v>0</v>
      </c>
      <c r="L335" s="433">
        <f t="shared" si="26"/>
        <v>0</v>
      </c>
      <c r="M335" s="433">
        <f t="shared" si="27"/>
        <v>5</v>
      </c>
      <c r="N335" s="672"/>
      <c r="O335" s="729">
        <f>IF(N335="",0,N335*K335/'9b-Vloeronderhoud'!$F$4)</f>
        <v>0</v>
      </c>
      <c r="P335" s="672"/>
      <c r="Q335" s="729" t="e">
        <f>IF(O335="",0,P335*L335/'9b-Vloeronderhoud'!$F$6)</f>
        <v>#DIV/0!</v>
      </c>
      <c r="R335" s="449">
        <v>1</v>
      </c>
      <c r="S335" s="672">
        <v>120</v>
      </c>
      <c r="T335" s="161" t="e">
        <f t="shared" si="28"/>
        <v>#DIV/0!</v>
      </c>
      <c r="U335" s="162">
        <f>IF(S335="nio",0,IF(S335&gt;0,VLOOKUP(G335,'3-Productie normen'!A:K,VLOOKUP(S335,'3-Productie normen'!L:N,3,FALSE),FALSE)))</f>
        <v>0</v>
      </c>
      <c r="V335" s="162">
        <f>VLOOKUP(G335,'3-Productie normen'!A:K,10,FALSE)</f>
        <v>726.97999910354622</v>
      </c>
      <c r="W335" s="163">
        <f>VLOOKUP(G335,'3-Productie normen'!A:K,11,FALSE)</f>
        <v>0</v>
      </c>
      <c r="X335" s="163"/>
      <c r="Z335" s="129">
        <f t="shared" si="29"/>
        <v>600</v>
      </c>
    </row>
    <row r="336" spans="1:26" ht="14.1" customHeight="1">
      <c r="A336" s="144">
        <v>342</v>
      </c>
      <c r="B336" s="160" t="s">
        <v>242</v>
      </c>
      <c r="C336" s="303" t="s">
        <v>643</v>
      </c>
      <c r="D336" s="304" t="s">
        <v>98</v>
      </c>
      <c r="E336" s="694" t="s">
        <v>523</v>
      </c>
      <c r="F336" s="303" t="s">
        <v>281</v>
      </c>
      <c r="G336" s="460" t="s">
        <v>881</v>
      </c>
      <c r="H336" s="534" t="s">
        <v>375</v>
      </c>
      <c r="I336" s="582" t="str">
        <f>VLOOKUP(H336,'9a-Typen vloeren'!$A$10:$B$40,2,FALSE)</f>
        <v>n.v.t.</v>
      </c>
      <c r="J336" s="588">
        <v>1.2000000476837158</v>
      </c>
      <c r="K336" s="433">
        <f t="shared" si="25"/>
        <v>0</v>
      </c>
      <c r="L336" s="433">
        <f t="shared" si="26"/>
        <v>0</v>
      </c>
      <c r="M336" s="433">
        <f t="shared" si="27"/>
        <v>0</v>
      </c>
      <c r="N336" s="672"/>
      <c r="O336" s="729">
        <f>IF(N336="",0,N336*K336/'9b-Vloeronderhoud'!$F$4)</f>
        <v>0</v>
      </c>
      <c r="P336" s="672"/>
      <c r="Q336" s="729" t="e">
        <f>IF(O336="",0,P336*L336/'9b-Vloeronderhoud'!$F$6)</f>
        <v>#DIV/0!</v>
      </c>
      <c r="R336" s="449">
        <v>1</v>
      </c>
      <c r="S336" s="672" t="s">
        <v>179</v>
      </c>
      <c r="T336" s="161">
        <f t="shared" si="28"/>
        <v>0</v>
      </c>
      <c r="U336" s="162">
        <f>IF(S336="nio",0,IF(S336&gt;0,VLOOKUP(G336,'3-Productie normen'!A:K,VLOOKUP(S336,'3-Productie normen'!L:N,3,FALSE),FALSE)))</f>
        <v>0</v>
      </c>
      <c r="V336" s="162">
        <f>VLOOKUP(G336,'3-Productie normen'!A:K,10,FALSE)</f>
        <v>5262.809993648526</v>
      </c>
      <c r="W336" s="163">
        <f>VLOOKUP(G336,'3-Productie normen'!A:K,11,FALSE)</f>
        <v>0</v>
      </c>
      <c r="X336" s="163"/>
      <c r="Z336" s="129">
        <f t="shared" si="29"/>
        <v>0</v>
      </c>
    </row>
    <row r="337" spans="1:26" ht="14.1" customHeight="1">
      <c r="A337" s="144">
        <v>343</v>
      </c>
      <c r="B337" s="160" t="s">
        <v>242</v>
      </c>
      <c r="C337" s="303" t="s">
        <v>643</v>
      </c>
      <c r="D337" s="304" t="s">
        <v>98</v>
      </c>
      <c r="E337" s="694" t="s">
        <v>524</v>
      </c>
      <c r="F337" s="303" t="s">
        <v>302</v>
      </c>
      <c r="G337" s="122" t="s">
        <v>18</v>
      </c>
      <c r="H337" s="534" t="s">
        <v>954</v>
      </c>
      <c r="I337" s="582" t="str">
        <f>VLOOKUP(H337,'9a-Typen vloeren'!$A$10:$B$40,2,FALSE)</f>
        <v>zie kwaliteitsontwerp</v>
      </c>
      <c r="J337" s="588">
        <v>6.6999998092651367</v>
      </c>
      <c r="K337" s="433">
        <f t="shared" si="25"/>
        <v>0</v>
      </c>
      <c r="L337" s="433">
        <f t="shared" si="26"/>
        <v>0</v>
      </c>
      <c r="M337" s="433">
        <f t="shared" si="27"/>
        <v>0</v>
      </c>
      <c r="N337" s="672"/>
      <c r="O337" s="729">
        <f>IF(N337="",0,N337*K337/'9b-Vloeronderhoud'!$F$4)</f>
        <v>0</v>
      </c>
      <c r="P337" s="672"/>
      <c r="Q337" s="729" t="e">
        <f>IF(O337="",0,P337*L337/'9b-Vloeronderhoud'!$F$6)</f>
        <v>#DIV/0!</v>
      </c>
      <c r="R337" s="449">
        <v>1</v>
      </c>
      <c r="S337" s="672">
        <v>120</v>
      </c>
      <c r="T337" s="161" t="e">
        <f t="shared" si="28"/>
        <v>#DIV/0!</v>
      </c>
      <c r="U337" s="162">
        <f>IF(S337="nio",0,IF(S337&gt;0,VLOOKUP(G337,'3-Productie normen'!A:K,VLOOKUP(S337,'3-Productie normen'!L:N,3,FALSE),FALSE)))</f>
        <v>0</v>
      </c>
      <c r="V337" s="162">
        <f>VLOOKUP(G337,'3-Productie normen'!A:K,10,FALSE)</f>
        <v>1859.5880019121171</v>
      </c>
      <c r="W337" s="163">
        <f>VLOOKUP(G337,'3-Productie normen'!A:K,11,FALSE)</f>
        <v>0</v>
      </c>
      <c r="X337" s="163"/>
      <c r="Z337" s="129">
        <f t="shared" si="29"/>
        <v>803.99997711181641</v>
      </c>
    </row>
    <row r="338" spans="1:26" ht="14.1" customHeight="1">
      <c r="A338" s="144">
        <v>344</v>
      </c>
      <c r="B338" s="160" t="s">
        <v>242</v>
      </c>
      <c r="C338" s="303" t="s">
        <v>643</v>
      </c>
      <c r="D338" s="304" t="s">
        <v>98</v>
      </c>
      <c r="E338" s="694" t="s">
        <v>538</v>
      </c>
      <c r="F338" s="303" t="s">
        <v>285</v>
      </c>
      <c r="G338" s="533" t="s">
        <v>285</v>
      </c>
      <c r="H338" s="534" t="s">
        <v>100</v>
      </c>
      <c r="I338" s="582" t="str">
        <f>VLOOKUP(H338,'9a-Typen vloeren'!$A$10:$B$40,2,FALSE)</f>
        <v>Sprayen/ conserveren</v>
      </c>
      <c r="J338" s="588">
        <v>20</v>
      </c>
      <c r="K338" s="433">
        <f t="shared" si="25"/>
        <v>20</v>
      </c>
      <c r="L338" s="433">
        <f t="shared" si="26"/>
        <v>0</v>
      </c>
      <c r="M338" s="433">
        <f t="shared" si="27"/>
        <v>0</v>
      </c>
      <c r="N338" s="672"/>
      <c r="O338" s="729">
        <f>IF(N338="",0,N338*K338/'9b-Vloeronderhoud'!$F$4)</f>
        <v>0</v>
      </c>
      <c r="P338" s="672"/>
      <c r="Q338" s="729" t="e">
        <f>IF(O338="",0,P338*L338/'9b-Vloeronderhoud'!$F$6)</f>
        <v>#DIV/0!</v>
      </c>
      <c r="R338" s="449">
        <v>1</v>
      </c>
      <c r="S338" s="672">
        <v>120</v>
      </c>
      <c r="T338" s="161" t="e">
        <f t="shared" si="28"/>
        <v>#DIV/0!</v>
      </c>
      <c r="U338" s="162">
        <f>IF(S338="nio",0,IF(S338&gt;0,VLOOKUP(G338,'3-Productie normen'!A:K,VLOOKUP(S338,'3-Productie normen'!L:N,3,FALSE),FALSE)))</f>
        <v>0</v>
      </c>
      <c r="V338" s="162">
        <f>VLOOKUP(G338,'3-Productie normen'!A:K,10,FALSE)</f>
        <v>3305.8200070953367</v>
      </c>
      <c r="W338" s="163">
        <f>VLOOKUP(G338,'3-Productie normen'!A:K,11,FALSE)</f>
        <v>0</v>
      </c>
      <c r="X338" s="163"/>
      <c r="Z338" s="129">
        <f t="shared" si="29"/>
        <v>2400</v>
      </c>
    </row>
    <row r="339" spans="1:26" ht="14.1" customHeight="1">
      <c r="A339" s="144">
        <v>345</v>
      </c>
      <c r="B339" s="160" t="s">
        <v>242</v>
      </c>
      <c r="C339" s="303" t="s">
        <v>643</v>
      </c>
      <c r="D339" s="304" t="s">
        <v>98</v>
      </c>
      <c r="E339" s="694" t="s">
        <v>538</v>
      </c>
      <c r="F339" s="303" t="s">
        <v>344</v>
      </c>
      <c r="G339" s="122" t="s">
        <v>221</v>
      </c>
      <c r="H339" s="534" t="s">
        <v>101</v>
      </c>
      <c r="I339" s="582" t="str">
        <f>VLOOKUP(H339,'9a-Typen vloeren'!$A$10:$B$40,2,FALSE)</f>
        <v>Schrobben</v>
      </c>
      <c r="J339" s="588">
        <v>6</v>
      </c>
      <c r="K339" s="433">
        <f t="shared" si="25"/>
        <v>0</v>
      </c>
      <c r="L339" s="433">
        <f t="shared" si="26"/>
        <v>6</v>
      </c>
      <c r="M339" s="433">
        <f t="shared" si="27"/>
        <v>0</v>
      </c>
      <c r="N339" s="672"/>
      <c r="O339" s="729">
        <f>IF(N339="",0,N339*K339/'9b-Vloeronderhoud'!$F$4)</f>
        <v>0</v>
      </c>
      <c r="P339" s="672"/>
      <c r="Q339" s="729" t="e">
        <f>IF(O339="",0,P339*L339/'9b-Vloeronderhoud'!$F$6)</f>
        <v>#DIV/0!</v>
      </c>
      <c r="R339" s="449">
        <v>1</v>
      </c>
      <c r="S339" s="672">
        <v>80</v>
      </c>
      <c r="T339" s="161" t="e">
        <f t="shared" si="28"/>
        <v>#DIV/0!</v>
      </c>
      <c r="U339" s="162">
        <f>IF(S339="nio",0,IF(S339&gt;0,VLOOKUP(G339,'3-Productie normen'!A:K,VLOOKUP(S339,'3-Productie normen'!L:N,3,FALSE),FALSE)))</f>
        <v>0</v>
      </c>
      <c r="V339" s="162">
        <f>VLOOKUP(G339,'3-Productie normen'!A:K,10,FALSE)</f>
        <v>16013.110036668773</v>
      </c>
      <c r="W339" s="163">
        <f>VLOOKUP(G339,'3-Productie normen'!A:K,11,FALSE)</f>
        <v>0</v>
      </c>
      <c r="X339" s="163"/>
      <c r="Z339" s="129">
        <f t="shared" si="29"/>
        <v>480</v>
      </c>
    </row>
    <row r="340" spans="1:26" ht="14.1" customHeight="1">
      <c r="A340" s="144">
        <v>346</v>
      </c>
      <c r="B340" s="160" t="s">
        <v>242</v>
      </c>
      <c r="C340" s="303" t="s">
        <v>643</v>
      </c>
      <c r="D340" s="304" t="s">
        <v>98</v>
      </c>
      <c r="E340" s="694" t="s">
        <v>525</v>
      </c>
      <c r="F340" s="303" t="s">
        <v>285</v>
      </c>
      <c r="G340" s="546" t="s">
        <v>285</v>
      </c>
      <c r="H340" s="534" t="s">
        <v>100</v>
      </c>
      <c r="I340" s="582" t="str">
        <f>VLOOKUP(H340,'9a-Typen vloeren'!$A$10:$B$40,2,FALSE)</f>
        <v>Sprayen/ conserveren</v>
      </c>
      <c r="J340" s="588">
        <v>33.700000762939453</v>
      </c>
      <c r="K340" s="433">
        <f t="shared" si="25"/>
        <v>33.700000762939453</v>
      </c>
      <c r="L340" s="433">
        <f t="shared" si="26"/>
        <v>0</v>
      </c>
      <c r="M340" s="433">
        <f t="shared" si="27"/>
        <v>0</v>
      </c>
      <c r="N340" s="672"/>
      <c r="O340" s="729">
        <f>IF(N340="",0,N340*K340/'9b-Vloeronderhoud'!$F$4)</f>
        <v>0</v>
      </c>
      <c r="P340" s="672"/>
      <c r="Q340" s="729" t="e">
        <f>IF(O340="",0,P340*L340/'9b-Vloeronderhoud'!$F$6)</f>
        <v>#DIV/0!</v>
      </c>
      <c r="R340" s="449">
        <v>1</v>
      </c>
      <c r="S340" s="672">
        <v>120</v>
      </c>
      <c r="T340" s="161" t="e">
        <f t="shared" si="28"/>
        <v>#DIV/0!</v>
      </c>
      <c r="U340" s="162">
        <f>IF(S340="nio",0,IF(S340&gt;0,VLOOKUP(G340,'3-Productie normen'!A:K,VLOOKUP(S340,'3-Productie normen'!L:N,3,FALSE),FALSE)))</f>
        <v>0</v>
      </c>
      <c r="V340" s="162">
        <f>VLOOKUP(G340,'3-Productie normen'!A:K,10,FALSE)</f>
        <v>3305.8200070953367</v>
      </c>
      <c r="W340" s="163">
        <f>VLOOKUP(G340,'3-Productie normen'!A:K,11,FALSE)</f>
        <v>0</v>
      </c>
      <c r="X340" s="163"/>
      <c r="Z340" s="129">
        <f t="shared" si="29"/>
        <v>4044.0000915527344</v>
      </c>
    </row>
    <row r="341" spans="1:26" ht="14.1" customHeight="1">
      <c r="A341" s="144">
        <v>347</v>
      </c>
      <c r="B341" s="160" t="s">
        <v>242</v>
      </c>
      <c r="C341" s="303" t="s">
        <v>643</v>
      </c>
      <c r="D341" s="304" t="s">
        <v>98</v>
      </c>
      <c r="E341" s="694" t="s">
        <v>525</v>
      </c>
      <c r="F341" s="303" t="s">
        <v>344</v>
      </c>
      <c r="G341" s="303" t="s">
        <v>221</v>
      </c>
      <c r="H341" s="534" t="s">
        <v>101</v>
      </c>
      <c r="I341" s="582" t="str">
        <f>VLOOKUP(H341,'9a-Typen vloeren'!$A$10:$B$40,2,FALSE)</f>
        <v>Schrobben</v>
      </c>
      <c r="J341" s="588">
        <v>8.3000001907348633</v>
      </c>
      <c r="K341" s="433">
        <f t="shared" si="25"/>
        <v>0</v>
      </c>
      <c r="L341" s="433">
        <f t="shared" si="26"/>
        <v>8.3000001907348633</v>
      </c>
      <c r="M341" s="433">
        <f t="shared" si="27"/>
        <v>0</v>
      </c>
      <c r="N341" s="672"/>
      <c r="O341" s="729">
        <f>IF(N341="",0,N341*K341/'9b-Vloeronderhoud'!$F$4)</f>
        <v>0</v>
      </c>
      <c r="P341" s="672"/>
      <c r="Q341" s="729" t="e">
        <f>IF(O341="",0,P341*L341/'9b-Vloeronderhoud'!$F$6)</f>
        <v>#DIV/0!</v>
      </c>
      <c r="R341" s="449">
        <v>1</v>
      </c>
      <c r="S341" s="672">
        <v>80</v>
      </c>
      <c r="T341" s="161" t="e">
        <f t="shared" si="28"/>
        <v>#DIV/0!</v>
      </c>
      <c r="U341" s="162">
        <f>IF(S341="nio",0,IF(S341&gt;0,VLOOKUP(G341,'3-Productie normen'!A:K,VLOOKUP(S341,'3-Productie normen'!L:N,3,FALSE),FALSE)))</f>
        <v>0</v>
      </c>
      <c r="V341" s="162">
        <f>VLOOKUP(G341,'3-Productie normen'!A:K,10,FALSE)</f>
        <v>16013.110036668773</v>
      </c>
      <c r="W341" s="163">
        <f>VLOOKUP(G341,'3-Productie normen'!A:K,11,FALSE)</f>
        <v>0</v>
      </c>
      <c r="X341" s="163"/>
      <c r="Z341" s="129">
        <f t="shared" si="29"/>
        <v>664.00001525878906</v>
      </c>
    </row>
    <row r="342" spans="1:26" ht="14.1" customHeight="1">
      <c r="A342" s="144">
        <v>348</v>
      </c>
      <c r="B342" s="160" t="s">
        <v>242</v>
      </c>
      <c r="C342" s="303" t="s">
        <v>643</v>
      </c>
      <c r="D342" s="304" t="s">
        <v>98</v>
      </c>
      <c r="E342" s="694" t="s">
        <v>539</v>
      </c>
      <c r="F342" s="494" t="s">
        <v>344</v>
      </c>
      <c r="G342" s="122" t="s">
        <v>221</v>
      </c>
      <c r="H342" s="534" t="s">
        <v>100</v>
      </c>
      <c r="I342" s="582" t="str">
        <f>VLOOKUP(H342,'9a-Typen vloeren'!$A$10:$B$40,2,FALSE)</f>
        <v>Sprayen/ conserveren</v>
      </c>
      <c r="J342" s="588">
        <v>10</v>
      </c>
      <c r="K342" s="433">
        <f t="shared" si="25"/>
        <v>10</v>
      </c>
      <c r="L342" s="433">
        <f t="shared" si="26"/>
        <v>0</v>
      </c>
      <c r="M342" s="433">
        <f t="shared" si="27"/>
        <v>0</v>
      </c>
      <c r="N342" s="672"/>
      <c r="O342" s="729">
        <f>IF(N342="",0,N342*K342/'9b-Vloeronderhoud'!$F$4)</f>
        <v>0</v>
      </c>
      <c r="P342" s="672"/>
      <c r="Q342" s="729" t="e">
        <f>IF(O342="",0,P342*L342/'9b-Vloeronderhoud'!$F$6)</f>
        <v>#DIV/0!</v>
      </c>
      <c r="R342" s="449">
        <v>1</v>
      </c>
      <c r="S342" s="672">
        <v>80</v>
      </c>
      <c r="T342" s="161" t="e">
        <f t="shared" si="28"/>
        <v>#DIV/0!</v>
      </c>
      <c r="U342" s="162">
        <f>IF(S342="nio",0,IF(S342&gt;0,VLOOKUP(G342,'3-Productie normen'!A:K,VLOOKUP(S342,'3-Productie normen'!L:N,3,FALSE),FALSE)))</f>
        <v>0</v>
      </c>
      <c r="V342" s="162">
        <f>VLOOKUP(G342,'3-Productie normen'!A:K,10,FALSE)</f>
        <v>16013.110036668773</v>
      </c>
      <c r="W342" s="163">
        <f>VLOOKUP(G342,'3-Productie normen'!A:K,11,FALSE)</f>
        <v>0</v>
      </c>
      <c r="X342" s="163"/>
      <c r="Z342" s="129">
        <f t="shared" si="29"/>
        <v>800</v>
      </c>
    </row>
    <row r="343" spans="1:26" ht="14.1" customHeight="1">
      <c r="A343" s="144">
        <v>349</v>
      </c>
      <c r="B343" s="160" t="s">
        <v>242</v>
      </c>
      <c r="C343" s="303" t="s">
        <v>643</v>
      </c>
      <c r="D343" s="304" t="s">
        <v>98</v>
      </c>
      <c r="E343" s="694" t="s">
        <v>527</v>
      </c>
      <c r="F343" s="303" t="s">
        <v>313</v>
      </c>
      <c r="G343" s="460" t="s">
        <v>881</v>
      </c>
      <c r="H343" s="534" t="s">
        <v>102</v>
      </c>
      <c r="I343" s="582" t="str">
        <f>VLOOKUP(H343,'9a-Typen vloeren'!$A$10:$B$40,2,FALSE)</f>
        <v>n.v.t.</v>
      </c>
      <c r="J343" s="588">
        <v>12</v>
      </c>
      <c r="K343" s="433">
        <f t="shared" si="25"/>
        <v>0</v>
      </c>
      <c r="L343" s="433">
        <f t="shared" si="26"/>
        <v>0</v>
      </c>
      <c r="M343" s="433">
        <f t="shared" si="27"/>
        <v>0</v>
      </c>
      <c r="N343" s="672"/>
      <c r="O343" s="729">
        <f>IF(N343="",0,N343*K343/'9b-Vloeronderhoud'!$F$4)</f>
        <v>0</v>
      </c>
      <c r="P343" s="672"/>
      <c r="Q343" s="729" t="e">
        <f>IF(O343="",0,P343*L343/'9b-Vloeronderhoud'!$F$6)</f>
        <v>#DIV/0!</v>
      </c>
      <c r="R343" s="449">
        <v>1</v>
      </c>
      <c r="S343" s="672" t="s">
        <v>179</v>
      </c>
      <c r="T343" s="161">
        <f t="shared" si="28"/>
        <v>0</v>
      </c>
      <c r="U343" s="162">
        <f>IF(S343="nio",0,IF(S343&gt;0,VLOOKUP(G343,'3-Productie normen'!A:K,VLOOKUP(S343,'3-Productie normen'!L:N,3,FALSE),FALSE)))</f>
        <v>0</v>
      </c>
      <c r="V343" s="162">
        <f>VLOOKUP(G343,'3-Productie normen'!A:K,10,FALSE)</f>
        <v>5262.809993648526</v>
      </c>
      <c r="W343" s="163">
        <f>VLOOKUP(G343,'3-Productie normen'!A:K,11,FALSE)</f>
        <v>0</v>
      </c>
      <c r="X343" s="163"/>
      <c r="Z343" s="129">
        <f t="shared" si="29"/>
        <v>0</v>
      </c>
    </row>
    <row r="344" spans="1:26" ht="14.1" customHeight="1">
      <c r="A344" s="144">
        <v>350</v>
      </c>
      <c r="B344" s="160" t="s">
        <v>242</v>
      </c>
      <c r="C344" s="303" t="s">
        <v>643</v>
      </c>
      <c r="D344" s="304" t="s">
        <v>98</v>
      </c>
      <c r="E344" s="694" t="s">
        <v>528</v>
      </c>
      <c r="F344" s="303" t="s">
        <v>281</v>
      </c>
      <c r="G344" s="460" t="s">
        <v>881</v>
      </c>
      <c r="H344" s="534" t="s">
        <v>375</v>
      </c>
      <c r="I344" s="582" t="str">
        <f>VLOOKUP(H344,'9a-Typen vloeren'!$A$10:$B$40,2,FALSE)</f>
        <v>n.v.t.</v>
      </c>
      <c r="J344" s="588">
        <v>2</v>
      </c>
      <c r="K344" s="433">
        <f t="shared" si="25"/>
        <v>0</v>
      </c>
      <c r="L344" s="433">
        <f t="shared" si="26"/>
        <v>0</v>
      </c>
      <c r="M344" s="433">
        <f t="shared" si="27"/>
        <v>0</v>
      </c>
      <c r="N344" s="672"/>
      <c r="O344" s="729">
        <f>IF(N344="",0,N344*K344/'9b-Vloeronderhoud'!$F$4)</f>
        <v>0</v>
      </c>
      <c r="P344" s="672"/>
      <c r="Q344" s="729" t="e">
        <f>IF(O344="",0,P344*L344/'9b-Vloeronderhoud'!$F$6)</f>
        <v>#DIV/0!</v>
      </c>
      <c r="R344" s="449">
        <v>1</v>
      </c>
      <c r="S344" s="672" t="s">
        <v>179</v>
      </c>
      <c r="T344" s="161">
        <f t="shared" si="28"/>
        <v>0</v>
      </c>
      <c r="U344" s="162">
        <f>IF(S344="nio",0,IF(S344&gt;0,VLOOKUP(G344,'3-Productie normen'!A:K,VLOOKUP(S344,'3-Productie normen'!L:N,3,FALSE),FALSE)))</f>
        <v>0</v>
      </c>
      <c r="V344" s="162">
        <f>VLOOKUP(G344,'3-Productie normen'!A:K,10,FALSE)</f>
        <v>5262.809993648526</v>
      </c>
      <c r="W344" s="163">
        <f>VLOOKUP(G344,'3-Productie normen'!A:K,11,FALSE)</f>
        <v>0</v>
      </c>
      <c r="X344" s="163"/>
      <c r="Z344" s="129">
        <f t="shared" si="29"/>
        <v>0</v>
      </c>
    </row>
    <row r="345" spans="1:26" ht="14.1" customHeight="1">
      <c r="A345" s="144">
        <v>351</v>
      </c>
      <c r="B345" s="160" t="s">
        <v>242</v>
      </c>
      <c r="C345" s="303" t="s">
        <v>643</v>
      </c>
      <c r="D345" s="304" t="s">
        <v>98</v>
      </c>
      <c r="E345" s="694" t="s">
        <v>509</v>
      </c>
      <c r="F345" s="303" t="s">
        <v>302</v>
      </c>
      <c r="G345" s="460" t="s">
        <v>18</v>
      </c>
      <c r="H345" s="534" t="s">
        <v>954</v>
      </c>
      <c r="I345" s="582" t="str">
        <f>VLOOKUP(H345,'9a-Typen vloeren'!$A$10:$B$40,2,FALSE)</f>
        <v>zie kwaliteitsontwerp</v>
      </c>
      <c r="J345" s="588">
        <v>4.5</v>
      </c>
      <c r="K345" s="433">
        <f t="shared" si="25"/>
        <v>0</v>
      </c>
      <c r="L345" s="433">
        <f t="shared" si="26"/>
        <v>0</v>
      </c>
      <c r="M345" s="433">
        <f t="shared" si="27"/>
        <v>0</v>
      </c>
      <c r="N345" s="672"/>
      <c r="O345" s="729">
        <f>IF(N345="",0,N345*K345/'9b-Vloeronderhoud'!$F$4)</f>
        <v>0</v>
      </c>
      <c r="P345" s="672"/>
      <c r="Q345" s="729" t="e">
        <f>IF(O345="",0,P345*L345/'9b-Vloeronderhoud'!$F$6)</f>
        <v>#DIV/0!</v>
      </c>
      <c r="R345" s="449">
        <v>1</v>
      </c>
      <c r="S345" s="672">
        <v>120</v>
      </c>
      <c r="T345" s="161" t="e">
        <f t="shared" si="28"/>
        <v>#DIV/0!</v>
      </c>
      <c r="U345" s="162">
        <f>IF(S345="nio",0,IF(S345&gt;0,VLOOKUP(G345,'3-Productie normen'!A:K,VLOOKUP(S345,'3-Productie normen'!L:N,3,FALSE),FALSE)))</f>
        <v>0</v>
      </c>
      <c r="V345" s="162">
        <f>VLOOKUP(G345,'3-Productie normen'!A:K,10,FALSE)</f>
        <v>1859.5880019121171</v>
      </c>
      <c r="W345" s="163">
        <f>VLOOKUP(G345,'3-Productie normen'!A:K,11,FALSE)</f>
        <v>0</v>
      </c>
      <c r="X345" s="163"/>
      <c r="Z345" s="129">
        <f t="shared" si="29"/>
        <v>540</v>
      </c>
    </row>
    <row r="346" spans="1:26" ht="14.1" customHeight="1">
      <c r="A346" s="144">
        <v>352</v>
      </c>
      <c r="B346" s="160" t="s">
        <v>242</v>
      </c>
      <c r="C346" s="303" t="s">
        <v>643</v>
      </c>
      <c r="D346" s="304" t="s">
        <v>98</v>
      </c>
      <c r="E346" s="694" t="s">
        <v>479</v>
      </c>
      <c r="F346" s="303" t="s">
        <v>313</v>
      </c>
      <c r="G346" s="460" t="s">
        <v>881</v>
      </c>
      <c r="H346" s="534" t="s">
        <v>102</v>
      </c>
      <c r="I346" s="582" t="str">
        <f>VLOOKUP(H346,'9a-Typen vloeren'!$A$10:$B$40,2,FALSE)</f>
        <v>n.v.t.</v>
      </c>
      <c r="J346" s="588">
        <v>8</v>
      </c>
      <c r="K346" s="433">
        <f t="shared" si="25"/>
        <v>0</v>
      </c>
      <c r="L346" s="433">
        <f t="shared" si="26"/>
        <v>0</v>
      </c>
      <c r="M346" s="433">
        <f t="shared" si="27"/>
        <v>0</v>
      </c>
      <c r="N346" s="672"/>
      <c r="O346" s="729">
        <f>IF(N346="",0,N346*K346/'9b-Vloeronderhoud'!$F$4)</f>
        <v>0</v>
      </c>
      <c r="P346" s="672"/>
      <c r="Q346" s="729" t="e">
        <f>IF(O346="",0,P346*L346/'9b-Vloeronderhoud'!$F$6)</f>
        <v>#DIV/0!</v>
      </c>
      <c r="R346" s="449">
        <v>1</v>
      </c>
      <c r="S346" s="672" t="s">
        <v>179</v>
      </c>
      <c r="T346" s="161">
        <f t="shared" si="28"/>
        <v>0</v>
      </c>
      <c r="U346" s="162">
        <f>IF(S346="nio",0,IF(S346&gt;0,VLOOKUP(G346,'3-Productie normen'!A:K,VLOOKUP(S346,'3-Productie normen'!L:N,3,FALSE),FALSE)))</f>
        <v>0</v>
      </c>
      <c r="V346" s="162">
        <f>VLOOKUP(G346,'3-Productie normen'!A:K,10,FALSE)</f>
        <v>5262.809993648526</v>
      </c>
      <c r="W346" s="163">
        <f>VLOOKUP(G346,'3-Productie normen'!A:K,11,FALSE)</f>
        <v>0</v>
      </c>
      <c r="X346" s="163"/>
      <c r="Z346" s="129">
        <f t="shared" si="29"/>
        <v>0</v>
      </c>
    </row>
    <row r="347" spans="1:26" ht="14.1" customHeight="1">
      <c r="A347" s="144">
        <v>353</v>
      </c>
      <c r="B347" s="160" t="s">
        <v>242</v>
      </c>
      <c r="C347" s="303" t="s">
        <v>643</v>
      </c>
      <c r="D347" s="304" t="s">
        <v>98</v>
      </c>
      <c r="E347" s="694" t="s">
        <v>482</v>
      </c>
      <c r="F347" s="303" t="s">
        <v>221</v>
      </c>
      <c r="G347" s="460" t="s">
        <v>221</v>
      </c>
      <c r="H347" s="534" t="s">
        <v>100</v>
      </c>
      <c r="I347" s="582" t="str">
        <f>VLOOKUP(H347,'9a-Typen vloeren'!$A$10:$B$40,2,FALSE)</f>
        <v>Sprayen/ conserveren</v>
      </c>
      <c r="J347" s="588">
        <v>52</v>
      </c>
      <c r="K347" s="433">
        <f t="shared" si="25"/>
        <v>52</v>
      </c>
      <c r="L347" s="433">
        <f t="shared" si="26"/>
        <v>0</v>
      </c>
      <c r="M347" s="433">
        <f t="shared" si="27"/>
        <v>0</v>
      </c>
      <c r="N347" s="672"/>
      <c r="O347" s="729">
        <f>IF(N347="",0,N347*K347/'9b-Vloeronderhoud'!$F$4)</f>
        <v>0</v>
      </c>
      <c r="P347" s="672"/>
      <c r="Q347" s="729" t="e">
        <f>IF(O347="",0,P347*L347/'9b-Vloeronderhoud'!$F$6)</f>
        <v>#DIV/0!</v>
      </c>
      <c r="R347" s="449">
        <v>1</v>
      </c>
      <c r="S347" s="688" t="s">
        <v>179</v>
      </c>
      <c r="T347" s="161">
        <f t="shared" si="28"/>
        <v>0</v>
      </c>
      <c r="U347" s="162">
        <f>IF(S347="nio",0,IF(S347&gt;0,VLOOKUP(G347,'3-Productie normen'!A:K,VLOOKUP(S347,'3-Productie normen'!L:N,3,FALSE),FALSE)))</f>
        <v>0</v>
      </c>
      <c r="V347" s="162">
        <f>VLOOKUP(G347,'3-Productie normen'!A:K,10,FALSE)</f>
        <v>16013.110036668773</v>
      </c>
      <c r="W347" s="163">
        <f>VLOOKUP(G347,'3-Productie normen'!A:K,11,FALSE)</f>
        <v>0</v>
      </c>
      <c r="X347" s="163"/>
      <c r="Z347" s="129">
        <f t="shared" si="29"/>
        <v>0</v>
      </c>
    </row>
    <row r="348" spans="1:26" ht="14.1" customHeight="1">
      <c r="A348" s="144">
        <v>354</v>
      </c>
      <c r="B348" s="160" t="s">
        <v>242</v>
      </c>
      <c r="C348" s="303" t="s">
        <v>643</v>
      </c>
      <c r="D348" s="304" t="s">
        <v>98</v>
      </c>
      <c r="E348" s="694" t="s">
        <v>540</v>
      </c>
      <c r="F348" s="303" t="s">
        <v>221</v>
      </c>
      <c r="G348" s="460" t="s">
        <v>221</v>
      </c>
      <c r="H348" s="534" t="s">
        <v>100</v>
      </c>
      <c r="I348" s="582" t="str">
        <f>VLOOKUP(H348,'9a-Typen vloeren'!$A$10:$B$40,2,FALSE)</f>
        <v>Sprayen/ conserveren</v>
      </c>
      <c r="J348" s="588">
        <v>52</v>
      </c>
      <c r="K348" s="433">
        <f t="shared" si="25"/>
        <v>52</v>
      </c>
      <c r="L348" s="433">
        <f t="shared" si="26"/>
        <v>0</v>
      </c>
      <c r="M348" s="433">
        <f t="shared" si="27"/>
        <v>0</v>
      </c>
      <c r="N348" s="672"/>
      <c r="O348" s="729">
        <f>IF(N348="",0,N348*K348/'9b-Vloeronderhoud'!$F$4)</f>
        <v>0</v>
      </c>
      <c r="P348" s="672"/>
      <c r="Q348" s="729" t="e">
        <f>IF(O348="",0,P348*L348/'9b-Vloeronderhoud'!$F$6)</f>
        <v>#DIV/0!</v>
      </c>
      <c r="R348" s="449">
        <v>1</v>
      </c>
      <c r="S348" s="688" t="s">
        <v>179</v>
      </c>
      <c r="T348" s="161">
        <f t="shared" si="28"/>
        <v>0</v>
      </c>
      <c r="U348" s="162">
        <f>IF(S348="nio",0,IF(S348&gt;0,VLOOKUP(G348,'3-Productie normen'!A:K,VLOOKUP(S348,'3-Productie normen'!L:N,3,FALSE),FALSE)))</f>
        <v>0</v>
      </c>
      <c r="V348" s="162">
        <f>VLOOKUP(G348,'3-Productie normen'!A:K,10,FALSE)</f>
        <v>16013.110036668773</v>
      </c>
      <c r="W348" s="163">
        <f>VLOOKUP(G348,'3-Productie normen'!A:K,11,FALSE)</f>
        <v>0</v>
      </c>
      <c r="X348" s="163"/>
      <c r="Z348" s="129">
        <f t="shared" si="29"/>
        <v>0</v>
      </c>
    </row>
    <row r="349" spans="1:26" ht="14.1" customHeight="1">
      <c r="A349" s="144">
        <v>355</v>
      </c>
      <c r="B349" s="160" t="s">
        <v>242</v>
      </c>
      <c r="C349" s="303" t="s">
        <v>643</v>
      </c>
      <c r="D349" s="304" t="s">
        <v>98</v>
      </c>
      <c r="E349" s="694" t="s">
        <v>541</v>
      </c>
      <c r="F349" s="303" t="s">
        <v>221</v>
      </c>
      <c r="G349" s="122" t="s">
        <v>221</v>
      </c>
      <c r="H349" s="534" t="s">
        <v>100</v>
      </c>
      <c r="I349" s="582" t="str">
        <f>VLOOKUP(H349,'9a-Typen vloeren'!$A$10:$B$40,2,FALSE)</f>
        <v>Sprayen/ conserveren</v>
      </c>
      <c r="J349" s="588">
        <v>52</v>
      </c>
      <c r="K349" s="433">
        <f t="shared" si="25"/>
        <v>52</v>
      </c>
      <c r="L349" s="433">
        <f t="shared" si="26"/>
        <v>0</v>
      </c>
      <c r="M349" s="433">
        <f t="shared" si="27"/>
        <v>0</v>
      </c>
      <c r="N349" s="672"/>
      <c r="O349" s="729">
        <f>IF(N349="",0,N349*K349/'9b-Vloeronderhoud'!$F$4)</f>
        <v>0</v>
      </c>
      <c r="P349" s="672"/>
      <c r="Q349" s="729" t="e">
        <f>IF(O349="",0,P349*L349/'9b-Vloeronderhoud'!$F$6)</f>
        <v>#DIV/0!</v>
      </c>
      <c r="R349" s="449">
        <v>1</v>
      </c>
      <c r="S349" s="688" t="s">
        <v>179</v>
      </c>
      <c r="T349" s="161">
        <f t="shared" si="28"/>
        <v>0</v>
      </c>
      <c r="U349" s="162">
        <f>IF(S349="nio",0,IF(S349&gt;0,VLOOKUP(G349,'3-Productie normen'!A:K,VLOOKUP(S349,'3-Productie normen'!L:N,3,FALSE),FALSE)))</f>
        <v>0</v>
      </c>
      <c r="V349" s="162">
        <f>VLOOKUP(G349,'3-Productie normen'!A:K,10,FALSE)</f>
        <v>16013.110036668773</v>
      </c>
      <c r="W349" s="163">
        <f>VLOOKUP(G349,'3-Productie normen'!A:K,11,FALSE)</f>
        <v>0</v>
      </c>
      <c r="X349" s="163"/>
      <c r="Z349" s="129">
        <f t="shared" si="29"/>
        <v>0</v>
      </c>
    </row>
    <row r="350" spans="1:26" ht="14.1" customHeight="1">
      <c r="A350" s="144">
        <v>356</v>
      </c>
      <c r="B350" s="160" t="s">
        <v>250</v>
      </c>
      <c r="C350" s="303" t="s">
        <v>741</v>
      </c>
      <c r="D350" s="304" t="s">
        <v>98</v>
      </c>
      <c r="E350" s="694" t="s">
        <v>314</v>
      </c>
      <c r="F350" s="303" t="s">
        <v>99</v>
      </c>
      <c r="G350" s="460" t="s">
        <v>99</v>
      </c>
      <c r="H350" s="303" t="s">
        <v>332</v>
      </c>
      <c r="I350" s="582" t="str">
        <f>VLOOKUP(H350,'9a-Typen vloeren'!$A$10:$B$40,2,FALSE)</f>
        <v>Sproei/extraheren</v>
      </c>
      <c r="J350" s="588">
        <v>3.2000000476837158</v>
      </c>
      <c r="K350" s="433">
        <f t="shared" si="25"/>
        <v>0</v>
      </c>
      <c r="L350" s="433">
        <f t="shared" si="26"/>
        <v>0</v>
      </c>
      <c r="M350" s="433">
        <f t="shared" si="27"/>
        <v>3.2000000476837158</v>
      </c>
      <c r="N350" s="672"/>
      <c r="O350" s="729">
        <f>IF(N350="",0,N350*K350/'9b-Vloeronderhoud'!$F$4)</f>
        <v>0</v>
      </c>
      <c r="P350" s="672"/>
      <c r="Q350" s="729" t="e">
        <f>IF(O350="",0,P350*L350/'9b-Vloeronderhoud'!$F$6)</f>
        <v>#DIV/0!</v>
      </c>
      <c r="R350" s="449">
        <v>1</v>
      </c>
      <c r="S350" s="672">
        <v>190</v>
      </c>
      <c r="T350" s="161" t="e">
        <f t="shared" si="28"/>
        <v>#DIV/0!</v>
      </c>
      <c r="U350" s="162">
        <f>IF(S350="nio",0,IF(S350&gt;0,VLOOKUP(G350,'3-Productie normen'!A:K,VLOOKUP(S350,'3-Productie normen'!L:N,3,FALSE),FALSE)))</f>
        <v>0</v>
      </c>
      <c r="V350" s="162">
        <f>VLOOKUP(G350,'3-Productie normen'!A:K,10,FALSE)</f>
        <v>726.97999910354622</v>
      </c>
      <c r="W350" s="163">
        <f>VLOOKUP(G350,'3-Productie normen'!A:K,11,FALSE)</f>
        <v>0</v>
      </c>
      <c r="X350" s="163"/>
      <c r="Z350" s="129">
        <f t="shared" si="29"/>
        <v>608.00000905990601</v>
      </c>
    </row>
    <row r="351" spans="1:26" ht="14.1" customHeight="1">
      <c r="A351" s="144">
        <v>357</v>
      </c>
      <c r="B351" s="160" t="s">
        <v>250</v>
      </c>
      <c r="C351" s="303" t="s">
        <v>741</v>
      </c>
      <c r="D351" s="304" t="s">
        <v>98</v>
      </c>
      <c r="E351" s="694" t="s">
        <v>726</v>
      </c>
      <c r="F351" s="303" t="s">
        <v>288</v>
      </c>
      <c r="G351" s="303" t="s">
        <v>862</v>
      </c>
      <c r="H351" s="534" t="s">
        <v>100</v>
      </c>
      <c r="I351" s="582" t="str">
        <f>VLOOKUP(H351,'9a-Typen vloeren'!$A$10:$B$40,2,FALSE)</f>
        <v>Sprayen/ conserveren</v>
      </c>
      <c r="J351" s="588">
        <v>88.900001525878906</v>
      </c>
      <c r="K351" s="433">
        <f t="shared" si="25"/>
        <v>88.900001525878906</v>
      </c>
      <c r="L351" s="433">
        <f t="shared" si="26"/>
        <v>0</v>
      </c>
      <c r="M351" s="433">
        <f t="shared" si="27"/>
        <v>0</v>
      </c>
      <c r="N351" s="672">
        <v>2</v>
      </c>
      <c r="O351" s="729" t="e">
        <f>IF(N351="",0,N351*K351/'9b-Vloeronderhoud'!$F$4)</f>
        <v>#DIV/0!</v>
      </c>
      <c r="P351" s="672"/>
      <c r="Q351" s="729" t="e">
        <f>IF(O351="",0,P351*L351/'9b-Vloeronderhoud'!$F$6)</f>
        <v>#DIV/0!</v>
      </c>
      <c r="R351" s="449">
        <v>1</v>
      </c>
      <c r="S351" s="672">
        <v>120</v>
      </c>
      <c r="T351" s="161" t="e">
        <f t="shared" si="28"/>
        <v>#DIV/0!</v>
      </c>
      <c r="U351" s="162">
        <f>IF(S351="nio",0,IF(S351&gt;0,VLOOKUP(G351,'3-Productie normen'!A:K,VLOOKUP(S351,'3-Productie normen'!L:N,3,FALSE),FALSE)))</f>
        <v>0</v>
      </c>
      <c r="V351" s="162">
        <f>VLOOKUP(G351,'3-Productie normen'!A:K,10,FALSE)</f>
        <v>4374.9900215911857</v>
      </c>
      <c r="W351" s="163">
        <f>VLOOKUP(G351,'3-Productie normen'!A:K,11,FALSE)</f>
        <v>0</v>
      </c>
      <c r="X351" s="163"/>
      <c r="Z351" s="129">
        <f t="shared" si="29"/>
        <v>10668.000183105469</v>
      </c>
    </row>
    <row r="352" spans="1:26" ht="14.1" customHeight="1">
      <c r="A352" s="144">
        <v>358</v>
      </c>
      <c r="B352" s="160" t="s">
        <v>250</v>
      </c>
      <c r="C352" s="303" t="s">
        <v>741</v>
      </c>
      <c r="D352" s="304" t="s">
        <v>98</v>
      </c>
      <c r="E352" s="694" t="s">
        <v>309</v>
      </c>
      <c r="F352" s="303" t="s">
        <v>290</v>
      </c>
      <c r="G352" s="122" t="s">
        <v>190</v>
      </c>
      <c r="H352" s="534" t="s">
        <v>100</v>
      </c>
      <c r="I352" s="582" t="str">
        <f>VLOOKUP(H352,'9a-Typen vloeren'!$A$10:$B$40,2,FALSE)</f>
        <v>Sprayen/ conserveren</v>
      </c>
      <c r="J352" s="588">
        <v>10</v>
      </c>
      <c r="K352" s="433">
        <f t="shared" si="25"/>
        <v>10</v>
      </c>
      <c r="L352" s="433">
        <f t="shared" si="26"/>
        <v>0</v>
      </c>
      <c r="M352" s="433">
        <f t="shared" si="27"/>
        <v>0</v>
      </c>
      <c r="N352" s="672">
        <v>2</v>
      </c>
      <c r="O352" s="729" t="e">
        <f>IF(N352="",0,N352*K352/'9b-Vloeronderhoud'!$F$4)</f>
        <v>#DIV/0!</v>
      </c>
      <c r="P352" s="672"/>
      <c r="Q352" s="729" t="e">
        <f>IF(O352="",0,P352*L352/'9b-Vloeronderhoud'!$F$6)</f>
        <v>#DIV/0!</v>
      </c>
      <c r="R352" s="449">
        <v>1</v>
      </c>
      <c r="S352" s="672">
        <v>40</v>
      </c>
      <c r="T352" s="161" t="e">
        <f t="shared" si="28"/>
        <v>#DIV/0!</v>
      </c>
      <c r="U352" s="162">
        <f>IF(S352="nio",0,IF(S352&gt;0,VLOOKUP(G352,'3-Productie normen'!A:K,VLOOKUP(S352,'3-Productie normen'!L:N,3,FALSE),FALSE)))</f>
        <v>0</v>
      </c>
      <c r="V352" s="162">
        <f>VLOOKUP(G352,'3-Productie normen'!A:K,10,FALSE)</f>
        <v>281.65000052452086</v>
      </c>
      <c r="W352" s="163">
        <f>VLOOKUP(G352,'3-Productie normen'!A:K,11,FALSE)</f>
        <v>0</v>
      </c>
      <c r="X352" s="163"/>
      <c r="Z352" s="129">
        <f t="shared" si="29"/>
        <v>400</v>
      </c>
    </row>
    <row r="353" spans="1:26" ht="14.1" customHeight="1">
      <c r="A353" s="144">
        <v>359</v>
      </c>
      <c r="B353" s="160" t="s">
        <v>250</v>
      </c>
      <c r="C353" s="303" t="s">
        <v>741</v>
      </c>
      <c r="D353" s="304" t="s">
        <v>98</v>
      </c>
      <c r="E353" s="694" t="s">
        <v>727</v>
      </c>
      <c r="F353" s="303" t="s">
        <v>285</v>
      </c>
      <c r="G353" s="303" t="s">
        <v>285</v>
      </c>
      <c r="H353" s="534" t="s">
        <v>100</v>
      </c>
      <c r="I353" s="582" t="str">
        <f>VLOOKUP(H353,'9a-Typen vloeren'!$A$10:$B$40,2,FALSE)</f>
        <v>Sprayen/ conserveren</v>
      </c>
      <c r="J353" s="588">
        <v>72.900001525878906</v>
      </c>
      <c r="K353" s="433">
        <f t="shared" si="25"/>
        <v>72.900001525878906</v>
      </c>
      <c r="L353" s="433">
        <f t="shared" si="26"/>
        <v>0</v>
      </c>
      <c r="M353" s="433">
        <f t="shared" si="27"/>
        <v>0</v>
      </c>
      <c r="N353" s="672"/>
      <c r="O353" s="729">
        <f>IF(N353="",0,N353*K353/'9b-Vloeronderhoud'!$F$4)</f>
        <v>0</v>
      </c>
      <c r="P353" s="672"/>
      <c r="Q353" s="729" t="e">
        <f>IF(O353="",0,P353*L353/'9b-Vloeronderhoud'!$F$6)</f>
        <v>#DIV/0!</v>
      </c>
      <c r="R353" s="449">
        <v>1</v>
      </c>
      <c r="S353" s="672">
        <v>190</v>
      </c>
      <c r="T353" s="161" t="e">
        <f t="shared" si="28"/>
        <v>#DIV/0!</v>
      </c>
      <c r="U353" s="162">
        <f>IF(S353="nio",0,IF(S353&gt;0,VLOOKUP(G353,'3-Productie normen'!A:K,VLOOKUP(S353,'3-Productie normen'!L:N,3,FALSE),FALSE)))</f>
        <v>0</v>
      </c>
      <c r="V353" s="162">
        <f>VLOOKUP(G353,'3-Productie normen'!A:K,10,FALSE)</f>
        <v>3305.8200070953367</v>
      </c>
      <c r="W353" s="163">
        <f>VLOOKUP(G353,'3-Productie normen'!A:K,11,FALSE)</f>
        <v>0</v>
      </c>
      <c r="X353" s="163"/>
      <c r="Z353" s="129">
        <f t="shared" si="29"/>
        <v>13851.000289916992</v>
      </c>
    </row>
    <row r="354" spans="1:26" ht="14.1" customHeight="1">
      <c r="A354" s="144">
        <v>360</v>
      </c>
      <c r="B354" s="160" t="s">
        <v>250</v>
      </c>
      <c r="C354" s="303" t="s">
        <v>741</v>
      </c>
      <c r="D354" s="304" t="s">
        <v>98</v>
      </c>
      <c r="E354" s="694" t="s">
        <v>406</v>
      </c>
      <c r="F354" s="303" t="s">
        <v>282</v>
      </c>
      <c r="G354" s="460" t="s">
        <v>881</v>
      </c>
      <c r="H354" s="534" t="s">
        <v>100</v>
      </c>
      <c r="I354" s="582" t="str">
        <f>VLOOKUP(H354,'9a-Typen vloeren'!$A$10:$B$40,2,FALSE)</f>
        <v>Sprayen/ conserveren</v>
      </c>
      <c r="J354" s="588">
        <v>4.1999998092651367</v>
      </c>
      <c r="K354" s="433">
        <f t="shared" si="25"/>
        <v>0</v>
      </c>
      <c r="L354" s="433">
        <f t="shared" si="26"/>
        <v>0</v>
      </c>
      <c r="M354" s="433">
        <f t="shared" si="27"/>
        <v>0</v>
      </c>
      <c r="N354" s="672"/>
      <c r="O354" s="729">
        <f>IF(N354="",0,N354*K354/'9b-Vloeronderhoud'!$F$4)</f>
        <v>0</v>
      </c>
      <c r="P354" s="672"/>
      <c r="Q354" s="729" t="e">
        <f>IF(O354="",0,P354*L354/'9b-Vloeronderhoud'!$F$6)</f>
        <v>#DIV/0!</v>
      </c>
      <c r="R354" s="449">
        <v>1</v>
      </c>
      <c r="S354" s="672" t="s">
        <v>179</v>
      </c>
      <c r="T354" s="161">
        <f t="shared" si="28"/>
        <v>0</v>
      </c>
      <c r="U354" s="162">
        <f>IF(S354="nio",0,IF(S354&gt;0,VLOOKUP(G354,'3-Productie normen'!A:K,VLOOKUP(S354,'3-Productie normen'!L:N,3,FALSE),FALSE)))</f>
        <v>0</v>
      </c>
      <c r="V354" s="162">
        <f>VLOOKUP(G354,'3-Productie normen'!A:K,10,FALSE)</f>
        <v>5262.809993648526</v>
      </c>
      <c r="W354" s="163">
        <f>VLOOKUP(G354,'3-Productie normen'!A:K,11,FALSE)</f>
        <v>0</v>
      </c>
      <c r="X354" s="163"/>
      <c r="Z354" s="129">
        <f t="shared" si="29"/>
        <v>0</v>
      </c>
    </row>
    <row r="355" spans="1:26" ht="14.1" customHeight="1">
      <c r="A355" s="144">
        <v>361</v>
      </c>
      <c r="B355" s="160" t="s">
        <v>250</v>
      </c>
      <c r="C355" s="303" t="s">
        <v>741</v>
      </c>
      <c r="D355" s="304" t="s">
        <v>98</v>
      </c>
      <c r="E355" s="694" t="s">
        <v>319</v>
      </c>
      <c r="F355" s="303" t="s">
        <v>302</v>
      </c>
      <c r="G355" s="122" t="s">
        <v>18</v>
      </c>
      <c r="H355" s="303" t="s">
        <v>955</v>
      </c>
      <c r="I355" s="582" t="str">
        <f>VLOOKUP(H355,'9a-Typen vloeren'!$A$10:$B$40,2,FALSE)</f>
        <v>zie kwaliteitsontwerp</v>
      </c>
      <c r="J355" s="588">
        <v>6.8000001907348633</v>
      </c>
      <c r="K355" s="433">
        <f t="shared" si="25"/>
        <v>0</v>
      </c>
      <c r="L355" s="433">
        <f t="shared" si="26"/>
        <v>0</v>
      </c>
      <c r="M355" s="433">
        <f t="shared" si="27"/>
        <v>0</v>
      </c>
      <c r="N355" s="672"/>
      <c r="O355" s="729">
        <f>IF(N355="",0,N355*K355/'9b-Vloeronderhoud'!$F$4)</f>
        <v>0</v>
      </c>
      <c r="P355" s="672"/>
      <c r="Q355" s="729" t="e">
        <f>IF(O355="",0,P355*L355/'9b-Vloeronderhoud'!$F$6)</f>
        <v>#DIV/0!</v>
      </c>
      <c r="R355" s="449">
        <v>1</v>
      </c>
      <c r="S355" s="672">
        <v>190</v>
      </c>
      <c r="T355" s="161" t="e">
        <f t="shared" si="28"/>
        <v>#DIV/0!</v>
      </c>
      <c r="U355" s="162">
        <f>IF(S355="nio",0,IF(S355&gt;0,VLOOKUP(G355,'3-Productie normen'!A:K,VLOOKUP(S355,'3-Productie normen'!L:N,3,FALSE),FALSE)))</f>
        <v>0</v>
      </c>
      <c r="V355" s="162">
        <f>VLOOKUP(G355,'3-Productie normen'!A:K,10,FALSE)</f>
        <v>1859.5880019121171</v>
      </c>
      <c r="W355" s="163">
        <f>VLOOKUP(G355,'3-Productie normen'!A:K,11,FALSE)</f>
        <v>0</v>
      </c>
      <c r="X355" s="163"/>
      <c r="Z355" s="129">
        <f t="shared" si="29"/>
        <v>1292.000036239624</v>
      </c>
    </row>
    <row r="356" spans="1:26" ht="14.1" customHeight="1">
      <c r="A356" s="144">
        <v>362</v>
      </c>
      <c r="B356" s="160" t="s">
        <v>250</v>
      </c>
      <c r="C356" s="303" t="s">
        <v>741</v>
      </c>
      <c r="D356" s="304" t="s">
        <v>98</v>
      </c>
      <c r="E356" s="694" t="s">
        <v>323</v>
      </c>
      <c r="F356" s="303" t="s">
        <v>281</v>
      </c>
      <c r="G356" s="460" t="s">
        <v>881</v>
      </c>
      <c r="H356" s="534" t="s">
        <v>333</v>
      </c>
      <c r="I356" s="582" t="str">
        <f>VLOOKUP(H356,'9a-Typen vloeren'!$A$10:$B$40,2,FALSE)</f>
        <v>Schrobben</v>
      </c>
      <c r="J356" s="588">
        <v>3.5</v>
      </c>
      <c r="K356" s="433">
        <f t="shared" si="25"/>
        <v>0</v>
      </c>
      <c r="L356" s="433">
        <f t="shared" si="26"/>
        <v>0</v>
      </c>
      <c r="M356" s="433">
        <f t="shared" si="27"/>
        <v>0</v>
      </c>
      <c r="N356" s="672"/>
      <c r="O356" s="729">
        <f>IF(N356="",0,N356*K356/'9b-Vloeronderhoud'!$F$4)</f>
        <v>0</v>
      </c>
      <c r="P356" s="672"/>
      <c r="Q356" s="729" t="e">
        <f>IF(O356="",0,P356*L356/'9b-Vloeronderhoud'!$F$6)</f>
        <v>#DIV/0!</v>
      </c>
      <c r="R356" s="449">
        <v>1</v>
      </c>
      <c r="S356" s="672" t="s">
        <v>179</v>
      </c>
      <c r="T356" s="161">
        <f t="shared" si="28"/>
        <v>0</v>
      </c>
      <c r="U356" s="162">
        <f>IF(S356="nio",0,IF(S356&gt;0,VLOOKUP(G356,'3-Productie normen'!A:K,VLOOKUP(S356,'3-Productie normen'!L:N,3,FALSE),FALSE)))</f>
        <v>0</v>
      </c>
      <c r="V356" s="162">
        <f>VLOOKUP(G356,'3-Productie normen'!A:K,10,FALSE)</f>
        <v>5262.809993648526</v>
      </c>
      <c r="W356" s="163">
        <f>VLOOKUP(G356,'3-Productie normen'!A:K,11,FALSE)</f>
        <v>0</v>
      </c>
      <c r="X356" s="163"/>
      <c r="Z356" s="129">
        <f t="shared" si="29"/>
        <v>0</v>
      </c>
    </row>
    <row r="357" spans="1:26" ht="14.1" customHeight="1">
      <c r="A357" s="144">
        <v>363</v>
      </c>
      <c r="B357" s="160" t="s">
        <v>250</v>
      </c>
      <c r="C357" s="303" t="s">
        <v>741</v>
      </c>
      <c r="D357" s="304" t="s">
        <v>98</v>
      </c>
      <c r="E357" s="694" t="s">
        <v>317</v>
      </c>
      <c r="F357" s="303" t="s">
        <v>302</v>
      </c>
      <c r="G357" s="460" t="s">
        <v>18</v>
      </c>
      <c r="H357" s="303" t="s">
        <v>955</v>
      </c>
      <c r="I357" s="582" t="str">
        <f>VLOOKUP(H357,'9a-Typen vloeren'!$A$10:$B$40,2,FALSE)</f>
        <v>zie kwaliteitsontwerp</v>
      </c>
      <c r="J357" s="588">
        <v>6.5</v>
      </c>
      <c r="K357" s="433">
        <f t="shared" si="25"/>
        <v>0</v>
      </c>
      <c r="L357" s="433">
        <f t="shared" si="26"/>
        <v>0</v>
      </c>
      <c r="M357" s="433">
        <f t="shared" si="27"/>
        <v>0</v>
      </c>
      <c r="N357" s="672"/>
      <c r="O357" s="729">
        <f>IF(N357="",0,N357*K357/'9b-Vloeronderhoud'!$F$4)</f>
        <v>0</v>
      </c>
      <c r="P357" s="672"/>
      <c r="Q357" s="729" t="e">
        <f>IF(O357="",0,P357*L357/'9b-Vloeronderhoud'!$F$6)</f>
        <v>#DIV/0!</v>
      </c>
      <c r="R357" s="449">
        <v>1</v>
      </c>
      <c r="S357" s="672">
        <v>190</v>
      </c>
      <c r="T357" s="161" t="e">
        <f t="shared" si="28"/>
        <v>#DIV/0!</v>
      </c>
      <c r="U357" s="162">
        <f>IF(S357="nio",0,IF(S357&gt;0,VLOOKUP(G357,'3-Productie normen'!A:K,VLOOKUP(S357,'3-Productie normen'!L:N,3,FALSE),FALSE)))</f>
        <v>0</v>
      </c>
      <c r="V357" s="162">
        <f>VLOOKUP(G357,'3-Productie normen'!A:K,10,FALSE)</f>
        <v>1859.5880019121171</v>
      </c>
      <c r="W357" s="163">
        <f>VLOOKUP(G357,'3-Productie normen'!A:K,11,FALSE)</f>
        <v>0</v>
      </c>
      <c r="X357" s="163"/>
      <c r="Z357" s="129">
        <f t="shared" si="29"/>
        <v>1235</v>
      </c>
    </row>
    <row r="358" spans="1:26" ht="14.1" customHeight="1">
      <c r="A358" s="144">
        <v>364</v>
      </c>
      <c r="B358" s="160" t="s">
        <v>250</v>
      </c>
      <c r="C358" s="303" t="s">
        <v>741</v>
      </c>
      <c r="D358" s="304" t="s">
        <v>98</v>
      </c>
      <c r="E358" s="694" t="s">
        <v>325</v>
      </c>
      <c r="F358" s="494" t="s">
        <v>283</v>
      </c>
      <c r="G358" s="122" t="s">
        <v>286</v>
      </c>
      <c r="H358" s="534" t="s">
        <v>100</v>
      </c>
      <c r="I358" s="582" t="str">
        <f>VLOOKUP(H358,'9a-Typen vloeren'!$A$10:$B$40,2,FALSE)</f>
        <v>Sprayen/ conserveren</v>
      </c>
      <c r="J358" s="588">
        <v>40.099998474121094</v>
      </c>
      <c r="K358" s="433">
        <f t="shared" si="25"/>
        <v>40.099998474121094</v>
      </c>
      <c r="L358" s="433">
        <f t="shared" si="26"/>
        <v>0</v>
      </c>
      <c r="M358" s="433">
        <f t="shared" si="27"/>
        <v>0</v>
      </c>
      <c r="N358" s="672">
        <v>2</v>
      </c>
      <c r="O358" s="729" t="e">
        <f>IF(N358="",0,N358*K358/'9b-Vloeronderhoud'!$F$4)</f>
        <v>#DIV/0!</v>
      </c>
      <c r="P358" s="672"/>
      <c r="Q358" s="729" t="e">
        <f>IF(O358="",0,P358*L358/'9b-Vloeronderhoud'!$F$6)</f>
        <v>#DIV/0!</v>
      </c>
      <c r="R358" s="449">
        <v>1</v>
      </c>
      <c r="S358" s="672">
        <v>120</v>
      </c>
      <c r="T358" s="161" t="e">
        <f t="shared" si="28"/>
        <v>#DIV/0!</v>
      </c>
      <c r="U358" s="162">
        <f>IF(S358="nio",0,IF(S358&gt;0,VLOOKUP(G358,'3-Productie normen'!A:K,VLOOKUP(S358,'3-Productie normen'!L:N,3,FALSE),FALSE)))</f>
        <v>0</v>
      </c>
      <c r="V358" s="162">
        <f>VLOOKUP(G358,'3-Productie normen'!A:K,10,FALSE)</f>
        <v>6152.9500017547598</v>
      </c>
      <c r="W358" s="163">
        <f>VLOOKUP(G358,'3-Productie normen'!A:K,11,FALSE)</f>
        <v>0</v>
      </c>
      <c r="X358" s="163"/>
      <c r="Z358" s="129">
        <f t="shared" si="29"/>
        <v>4811.9998168945313</v>
      </c>
    </row>
    <row r="359" spans="1:26" ht="14.1" customHeight="1">
      <c r="A359" s="144">
        <v>365</v>
      </c>
      <c r="B359" s="160" t="s">
        <v>250</v>
      </c>
      <c r="C359" s="303" t="s">
        <v>741</v>
      </c>
      <c r="D359" s="304" t="s">
        <v>98</v>
      </c>
      <c r="E359" s="694" t="s">
        <v>728</v>
      </c>
      <c r="F359" s="303" t="s">
        <v>221</v>
      </c>
      <c r="G359" s="460" t="s">
        <v>221</v>
      </c>
      <c r="H359" s="534" t="s">
        <v>100</v>
      </c>
      <c r="I359" s="582" t="str">
        <f>VLOOKUP(H359,'9a-Typen vloeren'!$A$10:$B$40,2,FALSE)</f>
        <v>Sprayen/ conserveren</v>
      </c>
      <c r="J359" s="588">
        <v>58</v>
      </c>
      <c r="K359" s="433">
        <f t="shared" si="25"/>
        <v>58</v>
      </c>
      <c r="L359" s="433">
        <f t="shared" si="26"/>
        <v>0</v>
      </c>
      <c r="M359" s="433">
        <f t="shared" si="27"/>
        <v>0</v>
      </c>
      <c r="N359" s="672"/>
      <c r="O359" s="729">
        <f>IF(N359="",0,N359*K359/'9b-Vloeronderhoud'!$F$4)</f>
        <v>0</v>
      </c>
      <c r="P359" s="672"/>
      <c r="Q359" s="729" t="e">
        <f>IF(O359="",0,P359*L359/'9b-Vloeronderhoud'!$F$6)</f>
        <v>#DIV/0!</v>
      </c>
      <c r="R359" s="449">
        <v>1</v>
      </c>
      <c r="S359" s="688" t="s">
        <v>179</v>
      </c>
      <c r="T359" s="161">
        <f t="shared" si="28"/>
        <v>0</v>
      </c>
      <c r="U359" s="162">
        <f>IF(S359="nio",0,IF(S359&gt;0,VLOOKUP(G359,'3-Productie normen'!A:K,VLOOKUP(S359,'3-Productie normen'!L:N,3,FALSE),FALSE)))</f>
        <v>0</v>
      </c>
      <c r="V359" s="162">
        <f>VLOOKUP(G359,'3-Productie normen'!A:K,10,FALSE)</f>
        <v>16013.110036668773</v>
      </c>
      <c r="W359" s="163">
        <f>VLOOKUP(G359,'3-Productie normen'!A:K,11,FALSE)</f>
        <v>0</v>
      </c>
      <c r="X359" s="163"/>
      <c r="Z359" s="129">
        <f t="shared" si="29"/>
        <v>0</v>
      </c>
    </row>
    <row r="360" spans="1:26" ht="14.1" customHeight="1">
      <c r="A360" s="144">
        <v>366</v>
      </c>
      <c r="B360" s="160" t="s">
        <v>250</v>
      </c>
      <c r="C360" s="303" t="s">
        <v>741</v>
      </c>
      <c r="D360" s="304" t="s">
        <v>98</v>
      </c>
      <c r="E360" s="694" t="s">
        <v>330</v>
      </c>
      <c r="F360" s="303" t="s">
        <v>282</v>
      </c>
      <c r="G360" s="460" t="s">
        <v>881</v>
      </c>
      <c r="H360" s="534" t="s">
        <v>100</v>
      </c>
      <c r="I360" s="582" t="str">
        <f>VLOOKUP(H360,'9a-Typen vloeren'!$A$10:$B$40,2,FALSE)</f>
        <v>Sprayen/ conserveren</v>
      </c>
      <c r="J360" s="588">
        <v>3.7000000476837158</v>
      </c>
      <c r="K360" s="433">
        <f t="shared" si="25"/>
        <v>0</v>
      </c>
      <c r="L360" s="433">
        <f t="shared" si="26"/>
        <v>0</v>
      </c>
      <c r="M360" s="433">
        <f t="shared" si="27"/>
        <v>0</v>
      </c>
      <c r="N360" s="672"/>
      <c r="O360" s="729">
        <f>IF(N360="",0,N360*K360/'9b-Vloeronderhoud'!$F$4)</f>
        <v>0</v>
      </c>
      <c r="P360" s="672"/>
      <c r="Q360" s="729" t="e">
        <f>IF(O360="",0,P360*L360/'9b-Vloeronderhoud'!$F$6)</f>
        <v>#DIV/0!</v>
      </c>
      <c r="R360" s="449">
        <v>1</v>
      </c>
      <c r="S360" s="672" t="s">
        <v>179</v>
      </c>
      <c r="T360" s="161">
        <f t="shared" si="28"/>
        <v>0</v>
      </c>
      <c r="U360" s="162">
        <f>IF(S360="nio",0,IF(S360&gt;0,VLOOKUP(G360,'3-Productie normen'!A:K,VLOOKUP(S360,'3-Productie normen'!L:N,3,FALSE),FALSE)))</f>
        <v>0</v>
      </c>
      <c r="V360" s="162">
        <f>VLOOKUP(G360,'3-Productie normen'!A:K,10,FALSE)</f>
        <v>5262.809993648526</v>
      </c>
      <c r="W360" s="163">
        <f>VLOOKUP(G360,'3-Productie normen'!A:K,11,FALSE)</f>
        <v>0</v>
      </c>
      <c r="X360" s="163"/>
      <c r="Z360" s="129">
        <f t="shared" si="29"/>
        <v>0</v>
      </c>
    </row>
    <row r="361" spans="1:26" ht="14.1" customHeight="1">
      <c r="A361" s="144">
        <v>367</v>
      </c>
      <c r="B361" s="160" t="s">
        <v>250</v>
      </c>
      <c r="C361" s="303" t="s">
        <v>741</v>
      </c>
      <c r="D361" s="304" t="s">
        <v>98</v>
      </c>
      <c r="E361" s="694" t="s">
        <v>729</v>
      </c>
      <c r="F361" s="303" t="s">
        <v>730</v>
      </c>
      <c r="G361" s="122" t="s">
        <v>286</v>
      </c>
      <c r="H361" s="534" t="s">
        <v>100</v>
      </c>
      <c r="I361" s="582" t="str">
        <f>VLOOKUP(H361,'9a-Typen vloeren'!$A$10:$B$40,2,FALSE)</f>
        <v>Sprayen/ conserveren</v>
      </c>
      <c r="J361" s="588">
        <v>21.899999618530273</v>
      </c>
      <c r="K361" s="433">
        <f t="shared" si="25"/>
        <v>21.899999618530273</v>
      </c>
      <c r="L361" s="433">
        <f t="shared" si="26"/>
        <v>0</v>
      </c>
      <c r="M361" s="433">
        <f t="shared" si="27"/>
        <v>0</v>
      </c>
      <c r="N361" s="672">
        <v>2</v>
      </c>
      <c r="O361" s="729" t="e">
        <f>IF(N361="",0,N361*K361/'9b-Vloeronderhoud'!$F$4)</f>
        <v>#DIV/0!</v>
      </c>
      <c r="P361" s="672"/>
      <c r="Q361" s="729" t="e">
        <f>IF(O361="",0,P361*L361/'9b-Vloeronderhoud'!$F$6)</f>
        <v>#DIV/0!</v>
      </c>
      <c r="R361" s="449">
        <v>1</v>
      </c>
      <c r="S361" s="672">
        <v>80</v>
      </c>
      <c r="T361" s="161" t="e">
        <f t="shared" si="28"/>
        <v>#DIV/0!</v>
      </c>
      <c r="U361" s="162">
        <f>IF(S361="nio",0,IF(S361&gt;0,VLOOKUP(G361,'3-Productie normen'!A:K,VLOOKUP(S361,'3-Productie normen'!L:N,3,FALSE),FALSE)))</f>
        <v>0</v>
      </c>
      <c r="V361" s="162">
        <f>VLOOKUP(G361,'3-Productie normen'!A:K,10,FALSE)</f>
        <v>6152.9500017547598</v>
      </c>
      <c r="W361" s="163">
        <f>VLOOKUP(G361,'3-Productie normen'!A:K,11,FALSE)</f>
        <v>0</v>
      </c>
      <c r="X361" s="163"/>
      <c r="Z361" s="129">
        <f t="shared" si="29"/>
        <v>1751.9999694824219</v>
      </c>
    </row>
    <row r="362" spans="1:26" ht="14.1" customHeight="1">
      <c r="A362" s="144">
        <v>368</v>
      </c>
      <c r="B362" s="160" t="s">
        <v>250</v>
      </c>
      <c r="C362" s="303" t="s">
        <v>741</v>
      </c>
      <c r="D362" s="304" t="s">
        <v>98</v>
      </c>
      <c r="E362" s="694" t="s">
        <v>407</v>
      </c>
      <c r="F362" s="303" t="s">
        <v>316</v>
      </c>
      <c r="G362" s="460" t="s">
        <v>881</v>
      </c>
      <c r="H362" s="534" t="s">
        <v>100</v>
      </c>
      <c r="I362" s="582" t="str">
        <f>VLOOKUP(H362,'9a-Typen vloeren'!$A$10:$B$40,2,FALSE)</f>
        <v>Sprayen/ conserveren</v>
      </c>
      <c r="J362" s="588">
        <v>4.0999999046325684</v>
      </c>
      <c r="K362" s="433">
        <f t="shared" si="25"/>
        <v>0</v>
      </c>
      <c r="L362" s="433">
        <f t="shared" si="26"/>
        <v>0</v>
      </c>
      <c r="M362" s="433">
        <f t="shared" si="27"/>
        <v>0</v>
      </c>
      <c r="N362" s="672"/>
      <c r="O362" s="729">
        <f>IF(N362="",0,N362*K362/'9b-Vloeronderhoud'!$F$4)</f>
        <v>0</v>
      </c>
      <c r="P362" s="672"/>
      <c r="Q362" s="729" t="e">
        <f>IF(O362="",0,P362*L362/'9b-Vloeronderhoud'!$F$6)</f>
        <v>#DIV/0!</v>
      </c>
      <c r="R362" s="449">
        <v>1</v>
      </c>
      <c r="S362" s="672" t="s">
        <v>179</v>
      </c>
      <c r="T362" s="161">
        <f t="shared" si="28"/>
        <v>0</v>
      </c>
      <c r="U362" s="162">
        <f>IF(S362="nio",0,IF(S362&gt;0,VLOOKUP(G362,'3-Productie normen'!A:K,VLOOKUP(S362,'3-Productie normen'!L:N,3,FALSE),FALSE)))</f>
        <v>0</v>
      </c>
      <c r="V362" s="162">
        <f>VLOOKUP(G362,'3-Productie normen'!A:K,10,FALSE)</f>
        <v>5262.809993648526</v>
      </c>
      <c r="W362" s="163">
        <f>VLOOKUP(G362,'3-Productie normen'!A:K,11,FALSE)</f>
        <v>0</v>
      </c>
      <c r="X362" s="163"/>
      <c r="Z362" s="129">
        <f t="shared" si="29"/>
        <v>0</v>
      </c>
    </row>
    <row r="363" spans="1:26" ht="14.1" customHeight="1">
      <c r="A363" s="144">
        <v>369</v>
      </c>
      <c r="B363" s="160" t="s">
        <v>250</v>
      </c>
      <c r="C363" s="303" t="s">
        <v>741</v>
      </c>
      <c r="D363" s="304" t="s">
        <v>98</v>
      </c>
      <c r="E363" s="694" t="s">
        <v>731</v>
      </c>
      <c r="F363" s="303" t="s">
        <v>221</v>
      </c>
      <c r="G363" s="460" t="s">
        <v>221</v>
      </c>
      <c r="H363" s="534" t="s">
        <v>100</v>
      </c>
      <c r="I363" s="582" t="str">
        <f>VLOOKUP(H363,'9a-Typen vloeren'!$A$10:$B$40,2,FALSE)</f>
        <v>Sprayen/ conserveren</v>
      </c>
      <c r="J363" s="588">
        <v>58</v>
      </c>
      <c r="K363" s="433">
        <f t="shared" si="25"/>
        <v>58</v>
      </c>
      <c r="L363" s="433">
        <f t="shared" si="26"/>
        <v>0</v>
      </c>
      <c r="M363" s="433">
        <f t="shared" si="27"/>
        <v>0</v>
      </c>
      <c r="N363" s="672"/>
      <c r="O363" s="729">
        <f>IF(N363="",0,N363*K363/'9b-Vloeronderhoud'!$F$4)</f>
        <v>0</v>
      </c>
      <c r="P363" s="672"/>
      <c r="Q363" s="729" t="e">
        <f>IF(O363="",0,P363*L363/'9b-Vloeronderhoud'!$F$6)</f>
        <v>#DIV/0!</v>
      </c>
      <c r="R363" s="449">
        <v>1</v>
      </c>
      <c r="S363" s="672">
        <v>80</v>
      </c>
      <c r="T363" s="161" t="e">
        <f t="shared" si="28"/>
        <v>#DIV/0!</v>
      </c>
      <c r="U363" s="162">
        <f>IF(S363="nio",0,IF(S363&gt;0,VLOOKUP(G363,'3-Productie normen'!A:K,VLOOKUP(S363,'3-Productie normen'!L:N,3,FALSE),FALSE)))</f>
        <v>0</v>
      </c>
      <c r="V363" s="162">
        <f>VLOOKUP(G363,'3-Productie normen'!A:K,10,FALSE)</f>
        <v>16013.110036668773</v>
      </c>
      <c r="W363" s="163">
        <f>VLOOKUP(G363,'3-Productie normen'!A:K,11,FALSE)</f>
        <v>0</v>
      </c>
      <c r="X363" s="163"/>
      <c r="Z363" s="129">
        <f t="shared" si="29"/>
        <v>4640</v>
      </c>
    </row>
    <row r="364" spans="1:26" ht="14.1" customHeight="1">
      <c r="A364" s="144">
        <v>370</v>
      </c>
      <c r="B364" s="160" t="s">
        <v>250</v>
      </c>
      <c r="C364" s="303" t="s">
        <v>741</v>
      </c>
      <c r="D364" s="304" t="s">
        <v>98</v>
      </c>
      <c r="E364" s="694" t="s">
        <v>329</v>
      </c>
      <c r="F364" s="303" t="s">
        <v>282</v>
      </c>
      <c r="G364" s="460" t="s">
        <v>881</v>
      </c>
      <c r="H364" s="534" t="s">
        <v>100</v>
      </c>
      <c r="I364" s="582" t="str">
        <f>VLOOKUP(H364,'9a-Typen vloeren'!$A$10:$B$40,2,FALSE)</f>
        <v>Sprayen/ conserveren</v>
      </c>
      <c r="J364" s="588">
        <v>3.7000000476837158</v>
      </c>
      <c r="K364" s="433">
        <f t="shared" si="25"/>
        <v>0</v>
      </c>
      <c r="L364" s="433">
        <f t="shared" si="26"/>
        <v>0</v>
      </c>
      <c r="M364" s="433">
        <f t="shared" si="27"/>
        <v>0</v>
      </c>
      <c r="N364" s="672"/>
      <c r="O364" s="729">
        <f>IF(N364="",0,N364*K364/'9b-Vloeronderhoud'!$F$4)</f>
        <v>0</v>
      </c>
      <c r="P364" s="672"/>
      <c r="Q364" s="729" t="e">
        <f>IF(O364="",0,P364*L364/'9b-Vloeronderhoud'!$F$6)</f>
        <v>#DIV/0!</v>
      </c>
      <c r="R364" s="449">
        <v>1</v>
      </c>
      <c r="S364" s="672" t="s">
        <v>179</v>
      </c>
      <c r="T364" s="161">
        <f t="shared" si="28"/>
        <v>0</v>
      </c>
      <c r="U364" s="162">
        <f>IF(S364="nio",0,IF(S364&gt;0,VLOOKUP(G364,'3-Productie normen'!A:K,VLOOKUP(S364,'3-Productie normen'!L:N,3,FALSE),FALSE)))</f>
        <v>0</v>
      </c>
      <c r="V364" s="162">
        <f>VLOOKUP(G364,'3-Productie normen'!A:K,10,FALSE)</f>
        <v>5262.809993648526</v>
      </c>
      <c r="W364" s="163">
        <f>VLOOKUP(G364,'3-Productie normen'!A:K,11,FALSE)</f>
        <v>0</v>
      </c>
      <c r="X364" s="163"/>
      <c r="Z364" s="129">
        <f t="shared" si="29"/>
        <v>0</v>
      </c>
    </row>
    <row r="365" spans="1:26" ht="14.1" customHeight="1">
      <c r="A365" s="144">
        <v>371</v>
      </c>
      <c r="B365" s="160" t="s">
        <v>250</v>
      </c>
      <c r="C365" s="303" t="s">
        <v>741</v>
      </c>
      <c r="D365" s="304" t="s">
        <v>98</v>
      </c>
      <c r="E365" s="694" t="s">
        <v>315</v>
      </c>
      <c r="F365" s="303" t="s">
        <v>302</v>
      </c>
      <c r="G365" s="122" t="s">
        <v>18</v>
      </c>
      <c r="H365" s="303" t="s">
        <v>955</v>
      </c>
      <c r="I365" s="582" t="str">
        <f>VLOOKUP(H365,'9a-Typen vloeren'!$A$10:$B$40,2,FALSE)</f>
        <v>zie kwaliteitsontwerp</v>
      </c>
      <c r="J365" s="588">
        <v>6.5</v>
      </c>
      <c r="K365" s="433">
        <f t="shared" si="25"/>
        <v>0</v>
      </c>
      <c r="L365" s="433">
        <f t="shared" si="26"/>
        <v>0</v>
      </c>
      <c r="M365" s="433">
        <f t="shared" si="27"/>
        <v>0</v>
      </c>
      <c r="N365" s="672"/>
      <c r="O365" s="729">
        <f>IF(N365="",0,N365*K365/'9b-Vloeronderhoud'!$F$4)</f>
        <v>0</v>
      </c>
      <c r="P365" s="672"/>
      <c r="Q365" s="729" t="e">
        <f>IF(O365="",0,P365*L365/'9b-Vloeronderhoud'!$F$6)</f>
        <v>#DIV/0!</v>
      </c>
      <c r="R365" s="449">
        <v>1</v>
      </c>
      <c r="S365" s="672">
        <v>190</v>
      </c>
      <c r="T365" s="161" t="e">
        <f t="shared" si="28"/>
        <v>#DIV/0!</v>
      </c>
      <c r="U365" s="162">
        <f>IF(S365="nio",0,IF(S365&gt;0,VLOOKUP(G365,'3-Productie normen'!A:K,VLOOKUP(S365,'3-Productie normen'!L:N,3,FALSE),FALSE)))</f>
        <v>0</v>
      </c>
      <c r="V365" s="162">
        <f>VLOOKUP(G365,'3-Productie normen'!A:K,10,FALSE)</f>
        <v>1859.5880019121171</v>
      </c>
      <c r="W365" s="163">
        <f>VLOOKUP(G365,'3-Productie normen'!A:K,11,FALSE)</f>
        <v>0</v>
      </c>
      <c r="X365" s="163"/>
      <c r="Z365" s="129">
        <f t="shared" si="29"/>
        <v>1235</v>
      </c>
    </row>
    <row r="366" spans="1:26" ht="14.1" customHeight="1">
      <c r="A366" s="144">
        <v>372</v>
      </c>
      <c r="B366" s="160" t="s">
        <v>250</v>
      </c>
      <c r="C366" s="303" t="s">
        <v>741</v>
      </c>
      <c r="D366" s="304" t="s">
        <v>98</v>
      </c>
      <c r="E366" s="694" t="s">
        <v>312</v>
      </c>
      <c r="F366" s="303" t="s">
        <v>99</v>
      </c>
      <c r="G366" s="460" t="s">
        <v>99</v>
      </c>
      <c r="H366" s="303" t="s">
        <v>332</v>
      </c>
      <c r="I366" s="582" t="str">
        <f>VLOOKUP(H366,'9a-Typen vloeren'!$A$10:$B$40,2,FALSE)</f>
        <v>Sproei/extraheren</v>
      </c>
      <c r="J366" s="588">
        <v>5.3000001907348633</v>
      </c>
      <c r="K366" s="433">
        <f t="shared" si="25"/>
        <v>0</v>
      </c>
      <c r="L366" s="433">
        <f t="shared" si="26"/>
        <v>0</v>
      </c>
      <c r="M366" s="433">
        <f t="shared" si="27"/>
        <v>5.3000001907348633</v>
      </c>
      <c r="N366" s="672"/>
      <c r="O366" s="729">
        <f>IF(N366="",0,N366*K366/'9b-Vloeronderhoud'!$F$4)</f>
        <v>0</v>
      </c>
      <c r="P366" s="672"/>
      <c r="Q366" s="729" t="e">
        <f>IF(O366="",0,P366*L366/'9b-Vloeronderhoud'!$F$6)</f>
        <v>#DIV/0!</v>
      </c>
      <c r="R366" s="449">
        <v>1</v>
      </c>
      <c r="S366" s="672">
        <v>190</v>
      </c>
      <c r="T366" s="161" t="e">
        <f t="shared" si="28"/>
        <v>#DIV/0!</v>
      </c>
      <c r="U366" s="162">
        <f>IF(S366="nio",0,IF(S366&gt;0,VLOOKUP(G366,'3-Productie normen'!A:K,VLOOKUP(S366,'3-Productie normen'!L:N,3,FALSE),FALSE)))</f>
        <v>0</v>
      </c>
      <c r="V366" s="162">
        <f>VLOOKUP(G366,'3-Productie normen'!A:K,10,FALSE)</f>
        <v>726.97999910354622</v>
      </c>
      <c r="W366" s="163">
        <f>VLOOKUP(G366,'3-Productie normen'!A:K,11,FALSE)</f>
        <v>0</v>
      </c>
      <c r="X366" s="163"/>
      <c r="Z366" s="129">
        <f t="shared" si="29"/>
        <v>1007.000036239624</v>
      </c>
    </row>
    <row r="367" spans="1:26" ht="14.1" customHeight="1">
      <c r="A367" s="144">
        <v>373</v>
      </c>
      <c r="B367" s="160" t="s">
        <v>250</v>
      </c>
      <c r="C367" s="303" t="s">
        <v>741</v>
      </c>
      <c r="D367" s="304" t="s">
        <v>98</v>
      </c>
      <c r="E367" s="694" t="s">
        <v>328</v>
      </c>
      <c r="F367" s="303" t="s">
        <v>283</v>
      </c>
      <c r="G367" s="460" t="s">
        <v>286</v>
      </c>
      <c r="H367" s="534" t="s">
        <v>100</v>
      </c>
      <c r="I367" s="582" t="str">
        <f>VLOOKUP(H367,'9a-Typen vloeren'!$A$10:$B$40,2,FALSE)</f>
        <v>Sprayen/ conserveren</v>
      </c>
      <c r="J367" s="588">
        <v>7.5</v>
      </c>
      <c r="K367" s="433">
        <f t="shared" si="25"/>
        <v>7.5</v>
      </c>
      <c r="L367" s="433">
        <f t="shared" si="26"/>
        <v>0</v>
      </c>
      <c r="M367" s="433">
        <f t="shared" si="27"/>
        <v>0</v>
      </c>
      <c r="N367" s="672">
        <v>2</v>
      </c>
      <c r="O367" s="729" t="e">
        <f>IF(N367="",0,N367*K367/'9b-Vloeronderhoud'!$F$4)</f>
        <v>#DIV/0!</v>
      </c>
      <c r="P367" s="672"/>
      <c r="Q367" s="729" t="e">
        <f>IF(O367="",0,P367*L367/'9b-Vloeronderhoud'!$F$6)</f>
        <v>#DIV/0!</v>
      </c>
      <c r="R367" s="449">
        <v>1</v>
      </c>
      <c r="S367" s="672">
        <v>120</v>
      </c>
      <c r="T367" s="161" t="e">
        <f t="shared" si="28"/>
        <v>#DIV/0!</v>
      </c>
      <c r="U367" s="162">
        <f>IF(S367="nio",0,IF(S367&gt;0,VLOOKUP(G367,'3-Productie normen'!A:K,VLOOKUP(S367,'3-Productie normen'!L:N,3,FALSE),FALSE)))</f>
        <v>0</v>
      </c>
      <c r="V367" s="162">
        <f>VLOOKUP(G367,'3-Productie normen'!A:K,10,FALSE)</f>
        <v>6152.9500017547598</v>
      </c>
      <c r="W367" s="163">
        <f>VLOOKUP(G367,'3-Productie normen'!A:K,11,FALSE)</f>
        <v>0</v>
      </c>
      <c r="X367" s="163"/>
      <c r="Z367" s="129">
        <f t="shared" si="29"/>
        <v>900</v>
      </c>
    </row>
    <row r="368" spans="1:26" ht="14.1" customHeight="1">
      <c r="A368" s="144">
        <v>374</v>
      </c>
      <c r="B368" s="160" t="s">
        <v>250</v>
      </c>
      <c r="C368" s="303" t="s">
        <v>741</v>
      </c>
      <c r="D368" s="304" t="s">
        <v>98</v>
      </c>
      <c r="E368" s="694" t="s">
        <v>732</v>
      </c>
      <c r="F368" s="303" t="s">
        <v>297</v>
      </c>
      <c r="G368" s="460" t="s">
        <v>189</v>
      </c>
      <c r="H368" s="303" t="s">
        <v>332</v>
      </c>
      <c r="I368" s="582" t="str">
        <f>VLOOKUP(H368,'9a-Typen vloeren'!$A$10:$B$40,2,FALSE)</f>
        <v>Sproei/extraheren</v>
      </c>
      <c r="J368" s="588">
        <v>14.600000381469727</v>
      </c>
      <c r="K368" s="433">
        <f t="shared" si="25"/>
        <v>0</v>
      </c>
      <c r="L368" s="433">
        <f t="shared" si="26"/>
        <v>0</v>
      </c>
      <c r="M368" s="433">
        <f t="shared" si="27"/>
        <v>14.600000381469727</v>
      </c>
      <c r="N368" s="672"/>
      <c r="O368" s="729">
        <f>IF(N368="",0,N368*K368/'9b-Vloeronderhoud'!$F$4)</f>
        <v>0</v>
      </c>
      <c r="P368" s="672"/>
      <c r="Q368" s="729" t="e">
        <f>IF(O368="",0,P368*L368/'9b-Vloeronderhoud'!$F$6)</f>
        <v>#DIV/0!</v>
      </c>
      <c r="R368" s="449">
        <v>1</v>
      </c>
      <c r="S368" s="672">
        <v>40</v>
      </c>
      <c r="T368" s="161" t="e">
        <f t="shared" si="28"/>
        <v>#DIV/0!</v>
      </c>
      <c r="U368" s="162">
        <f>IF(S368="nio",0,IF(S368&gt;0,VLOOKUP(G368,'3-Productie normen'!A:K,VLOOKUP(S368,'3-Productie normen'!L:N,3,FALSE),FALSE)))</f>
        <v>0</v>
      </c>
      <c r="V368" s="162">
        <f>VLOOKUP(G368,'3-Productie normen'!A:K,10,FALSE)</f>
        <v>1494.1700078582762</v>
      </c>
      <c r="W368" s="163">
        <f>VLOOKUP(G368,'3-Productie normen'!A:K,11,FALSE)</f>
        <v>0</v>
      </c>
      <c r="X368" s="163"/>
      <c r="Z368" s="129">
        <f t="shared" si="29"/>
        <v>584.00001525878906</v>
      </c>
    </row>
    <row r="369" spans="1:30" ht="14.1" customHeight="1">
      <c r="A369" s="144">
        <v>375</v>
      </c>
      <c r="B369" s="160" t="s">
        <v>250</v>
      </c>
      <c r="C369" s="303" t="s">
        <v>741</v>
      </c>
      <c r="D369" s="304" t="s">
        <v>98</v>
      </c>
      <c r="E369" s="694" t="s">
        <v>733</v>
      </c>
      <c r="F369" s="303" t="s">
        <v>556</v>
      </c>
      <c r="G369" s="122" t="s">
        <v>299</v>
      </c>
      <c r="H369" s="303" t="s">
        <v>332</v>
      </c>
      <c r="I369" s="582" t="str">
        <f>VLOOKUP(H369,'9a-Typen vloeren'!$A$10:$B$40,2,FALSE)</f>
        <v>Sproei/extraheren</v>
      </c>
      <c r="J369" s="588">
        <v>31.399999618530273</v>
      </c>
      <c r="K369" s="433">
        <f t="shared" si="25"/>
        <v>0</v>
      </c>
      <c r="L369" s="433">
        <f t="shared" si="26"/>
        <v>0</v>
      </c>
      <c r="M369" s="433">
        <f t="shared" si="27"/>
        <v>31.399999618530273</v>
      </c>
      <c r="N369" s="672"/>
      <c r="O369" s="729">
        <f>IF(N369="",0,N369*K369/'9b-Vloeronderhoud'!$F$4)</f>
        <v>0</v>
      </c>
      <c r="P369" s="672"/>
      <c r="Q369" s="729" t="e">
        <f>IF(O369="",0,P369*L369/'9b-Vloeronderhoud'!$F$6)</f>
        <v>#DIV/0!</v>
      </c>
      <c r="R369" s="449">
        <v>1</v>
      </c>
      <c r="S369" s="672">
        <v>40</v>
      </c>
      <c r="T369" s="161" t="e">
        <f t="shared" si="28"/>
        <v>#DIV/0!</v>
      </c>
      <c r="U369" s="162">
        <f>IF(S369="nio",0,IF(S369&gt;0,VLOOKUP(G369,'3-Productie normen'!A:K,VLOOKUP(S369,'3-Productie normen'!L:N,3,FALSE),FALSE)))</f>
        <v>0</v>
      </c>
      <c r="V369" s="162">
        <f>VLOOKUP(G369,'3-Productie normen'!A:K,10,FALSE)</f>
        <v>1107.9100014114381</v>
      </c>
      <c r="W369" s="163">
        <f>VLOOKUP(G369,'3-Productie normen'!A:K,11,FALSE)</f>
        <v>0</v>
      </c>
      <c r="X369" s="163"/>
      <c r="Z369" s="129">
        <f t="shared" si="29"/>
        <v>1255.9999847412109</v>
      </c>
    </row>
    <row r="370" spans="1:30" ht="14.1" customHeight="1">
      <c r="A370" s="144">
        <v>376</v>
      </c>
      <c r="B370" s="160" t="s">
        <v>250</v>
      </c>
      <c r="C370" s="303" t="s">
        <v>741</v>
      </c>
      <c r="D370" s="304" t="s">
        <v>98</v>
      </c>
      <c r="E370" s="694" t="s">
        <v>318</v>
      </c>
      <c r="F370" s="303" t="s">
        <v>302</v>
      </c>
      <c r="G370" s="303" t="s">
        <v>18</v>
      </c>
      <c r="H370" s="303" t="s">
        <v>955</v>
      </c>
      <c r="I370" s="582" t="str">
        <f>VLOOKUP(H370,'9a-Typen vloeren'!$A$10:$B$40,2,FALSE)</f>
        <v>zie kwaliteitsontwerp</v>
      </c>
      <c r="J370" s="588">
        <v>5.1999998092651367</v>
      </c>
      <c r="K370" s="433">
        <f t="shared" si="25"/>
        <v>0</v>
      </c>
      <c r="L370" s="433">
        <f t="shared" si="26"/>
        <v>0</v>
      </c>
      <c r="M370" s="433">
        <f t="shared" si="27"/>
        <v>0</v>
      </c>
      <c r="N370" s="672"/>
      <c r="O370" s="729">
        <f>IF(N370="",0,N370*K370/'9b-Vloeronderhoud'!$F$4)</f>
        <v>0</v>
      </c>
      <c r="P370" s="672"/>
      <c r="Q370" s="729" t="e">
        <f>IF(O370="",0,P370*L370/'9b-Vloeronderhoud'!$F$6)</f>
        <v>#DIV/0!</v>
      </c>
      <c r="R370" s="449">
        <v>1</v>
      </c>
      <c r="S370" s="672">
        <v>190</v>
      </c>
      <c r="T370" s="161" t="e">
        <f t="shared" si="28"/>
        <v>#DIV/0!</v>
      </c>
      <c r="U370" s="162">
        <f>IF(S370="nio",0,IF(S370&gt;0,VLOOKUP(G370,'3-Productie normen'!A:K,VLOOKUP(S370,'3-Productie normen'!L:N,3,FALSE),FALSE)))</f>
        <v>0</v>
      </c>
      <c r="V370" s="162">
        <f>VLOOKUP(G370,'3-Productie normen'!A:K,10,FALSE)</f>
        <v>1859.5880019121171</v>
      </c>
      <c r="W370" s="163">
        <f>VLOOKUP(G370,'3-Productie normen'!A:K,11,FALSE)</f>
        <v>0</v>
      </c>
      <c r="X370" s="163"/>
      <c r="Z370" s="129">
        <f t="shared" si="29"/>
        <v>987.99996376037598</v>
      </c>
    </row>
    <row r="371" spans="1:30" s="47" customFormat="1" ht="14.1" customHeight="1">
      <c r="A371" s="144">
        <v>377</v>
      </c>
      <c r="B371" s="160" t="s">
        <v>250</v>
      </c>
      <c r="C371" s="303" t="s">
        <v>741</v>
      </c>
      <c r="D371" s="304" t="s">
        <v>98</v>
      </c>
      <c r="E371" s="694" t="s">
        <v>321</v>
      </c>
      <c r="F371" s="303" t="s">
        <v>304</v>
      </c>
      <c r="G371" s="546" t="s">
        <v>18</v>
      </c>
      <c r="H371" s="303" t="s">
        <v>955</v>
      </c>
      <c r="I371" s="582" t="str">
        <f>VLOOKUP(H371,'9a-Typen vloeren'!$A$10:$B$40,2,FALSE)</f>
        <v>zie kwaliteitsontwerp</v>
      </c>
      <c r="J371" s="588">
        <v>3.7999999523162842</v>
      </c>
      <c r="K371" s="433">
        <f t="shared" si="25"/>
        <v>0</v>
      </c>
      <c r="L371" s="433">
        <f t="shared" si="26"/>
        <v>0</v>
      </c>
      <c r="M371" s="433">
        <f t="shared" si="27"/>
        <v>0</v>
      </c>
      <c r="N371" s="672"/>
      <c r="O371" s="729">
        <f>IF(N371="",0,N371*K371/'9b-Vloeronderhoud'!$F$4)</f>
        <v>0</v>
      </c>
      <c r="P371" s="672"/>
      <c r="Q371" s="729" t="e">
        <f>IF(O371="",0,P371*L371/'9b-Vloeronderhoud'!$F$6)</f>
        <v>#DIV/0!</v>
      </c>
      <c r="R371" s="449">
        <v>1</v>
      </c>
      <c r="S371" s="672">
        <v>190</v>
      </c>
      <c r="T371" s="161" t="e">
        <f t="shared" si="28"/>
        <v>#DIV/0!</v>
      </c>
      <c r="U371" s="162">
        <f>IF(S371="nio",0,IF(S371&gt;0,VLOOKUP(G371,'3-Productie normen'!A:K,VLOOKUP(S371,'3-Productie normen'!L:N,3,FALSE),FALSE)))</f>
        <v>0</v>
      </c>
      <c r="V371" s="162">
        <f>VLOOKUP(G371,'3-Productie normen'!A:K,10,FALSE)</f>
        <v>1859.5880019121171</v>
      </c>
      <c r="W371" s="163">
        <f>VLOOKUP(G371,'3-Productie normen'!A:K,11,FALSE)</f>
        <v>0</v>
      </c>
      <c r="X371" s="163"/>
      <c r="Y371" s="4"/>
      <c r="Z371" s="129">
        <f t="shared" si="29"/>
        <v>721.99999094009399</v>
      </c>
      <c r="AA371" s="4"/>
      <c r="AB371" s="4"/>
      <c r="AC371" s="4"/>
      <c r="AD371" s="4"/>
    </row>
    <row r="372" spans="1:30" ht="14.1" customHeight="1">
      <c r="A372" s="144">
        <v>378</v>
      </c>
      <c r="B372" s="160" t="s">
        <v>230</v>
      </c>
      <c r="C372" s="159" t="s">
        <v>467</v>
      </c>
      <c r="D372" s="132" t="s">
        <v>98</v>
      </c>
      <c r="E372" s="702" t="s">
        <v>468</v>
      </c>
      <c r="F372" s="126" t="s">
        <v>469</v>
      </c>
      <c r="G372" s="460" t="s">
        <v>286</v>
      </c>
      <c r="H372" s="554" t="s">
        <v>375</v>
      </c>
      <c r="I372" s="582" t="str">
        <f>VLOOKUP(H372,'9a-Typen vloeren'!$A$10:$B$40,2,FALSE)</f>
        <v>n.v.t.</v>
      </c>
      <c r="J372" s="589">
        <v>91.52</v>
      </c>
      <c r="K372" s="433">
        <f t="shared" si="25"/>
        <v>0</v>
      </c>
      <c r="L372" s="433">
        <f t="shared" si="26"/>
        <v>0</v>
      </c>
      <c r="M372" s="433">
        <f t="shared" si="27"/>
        <v>0</v>
      </c>
      <c r="N372" s="672"/>
      <c r="O372" s="729">
        <f>IF(N372="",0,N372*K372/'9b-Vloeronderhoud'!$F$4)</f>
        <v>0</v>
      </c>
      <c r="P372" s="672"/>
      <c r="Q372" s="729" t="e">
        <f>IF(O372="",0,P372*L372/'9b-Vloeronderhoud'!$F$6)</f>
        <v>#DIV/0!</v>
      </c>
      <c r="R372" s="449">
        <v>1</v>
      </c>
      <c r="S372" s="672">
        <v>120</v>
      </c>
      <c r="T372" s="161" t="e">
        <f t="shared" si="28"/>
        <v>#DIV/0!</v>
      </c>
      <c r="U372" s="162">
        <f>IF(S372="nio",0,IF(S372&gt;0,VLOOKUP(G372,'3-Productie normen'!A:K,VLOOKUP(S372,'3-Productie normen'!L:N,3,FALSE),FALSE)))</f>
        <v>0</v>
      </c>
      <c r="V372" s="162">
        <f>VLOOKUP(G372,'3-Productie normen'!A:K,10,FALSE)</f>
        <v>6152.9500017547598</v>
      </c>
      <c r="W372" s="163">
        <f>VLOOKUP(G372,'3-Productie normen'!A:K,11,FALSE)</f>
        <v>0</v>
      </c>
      <c r="X372" s="163"/>
      <c r="Z372" s="129">
        <f t="shared" si="29"/>
        <v>10982.4</v>
      </c>
    </row>
    <row r="373" spans="1:30" ht="14.1" customHeight="1">
      <c r="A373" s="144">
        <v>379</v>
      </c>
      <c r="B373" s="160" t="s">
        <v>230</v>
      </c>
      <c r="C373" s="159" t="s">
        <v>467</v>
      </c>
      <c r="D373" s="132" t="s">
        <v>98</v>
      </c>
      <c r="E373" s="702" t="s">
        <v>295</v>
      </c>
      <c r="F373" s="126" t="s">
        <v>470</v>
      </c>
      <c r="G373" s="303" t="s">
        <v>221</v>
      </c>
      <c r="H373" s="554" t="s">
        <v>375</v>
      </c>
      <c r="I373" s="582" t="str">
        <f>VLOOKUP(H373,'9a-Typen vloeren'!$A$10:$B$40,2,FALSE)</f>
        <v>n.v.t.</v>
      </c>
      <c r="J373" s="589">
        <v>58.36</v>
      </c>
      <c r="K373" s="433">
        <f t="shared" si="25"/>
        <v>0</v>
      </c>
      <c r="L373" s="433">
        <f t="shared" si="26"/>
        <v>0</v>
      </c>
      <c r="M373" s="433">
        <f t="shared" si="27"/>
        <v>0</v>
      </c>
      <c r="N373" s="672"/>
      <c r="O373" s="729">
        <f>IF(N373="",0,N373*K373/'9b-Vloeronderhoud'!$F$4)</f>
        <v>0</v>
      </c>
      <c r="P373" s="672"/>
      <c r="Q373" s="729" t="e">
        <f>IF(O373="",0,P373*L373/'9b-Vloeronderhoud'!$F$6)</f>
        <v>#DIV/0!</v>
      </c>
      <c r="R373" s="449">
        <v>1</v>
      </c>
      <c r="S373" s="672">
        <v>80</v>
      </c>
      <c r="T373" s="161" t="e">
        <f t="shared" si="28"/>
        <v>#DIV/0!</v>
      </c>
      <c r="U373" s="162">
        <f>IF(S373="nio",0,IF(S373&gt;0,VLOOKUP(G373,'3-Productie normen'!A:K,VLOOKUP(S373,'3-Productie normen'!L:N,3,FALSE),FALSE)))</f>
        <v>0</v>
      </c>
      <c r="V373" s="162">
        <f>VLOOKUP(G373,'3-Productie normen'!A:K,10,FALSE)</f>
        <v>16013.110036668773</v>
      </c>
      <c r="W373" s="163">
        <f>VLOOKUP(G373,'3-Productie normen'!A:K,11,FALSE)</f>
        <v>0</v>
      </c>
      <c r="X373" s="163"/>
      <c r="Z373" s="129">
        <f t="shared" si="29"/>
        <v>4668.8</v>
      </c>
    </row>
    <row r="374" spans="1:30" ht="14.1" customHeight="1">
      <c r="A374" s="144">
        <v>380</v>
      </c>
      <c r="B374" s="160" t="s">
        <v>230</v>
      </c>
      <c r="C374" s="159" t="s">
        <v>467</v>
      </c>
      <c r="D374" s="132" t="s">
        <v>98</v>
      </c>
      <c r="E374" s="702" t="s">
        <v>296</v>
      </c>
      <c r="F374" s="126" t="s">
        <v>470</v>
      </c>
      <c r="G374" s="303" t="s">
        <v>221</v>
      </c>
      <c r="H374" s="554" t="s">
        <v>375</v>
      </c>
      <c r="I374" s="582" t="str">
        <f>VLOOKUP(H374,'9a-Typen vloeren'!$A$10:$B$40,2,FALSE)</f>
        <v>n.v.t.</v>
      </c>
      <c r="J374" s="589">
        <v>59.04</v>
      </c>
      <c r="K374" s="433">
        <f t="shared" si="25"/>
        <v>0</v>
      </c>
      <c r="L374" s="433">
        <f t="shared" si="26"/>
        <v>0</v>
      </c>
      <c r="M374" s="433">
        <f t="shared" si="27"/>
        <v>0</v>
      </c>
      <c r="N374" s="672"/>
      <c r="O374" s="729">
        <f>IF(N374="",0,N374*K374/'9b-Vloeronderhoud'!$F$4)</f>
        <v>0</v>
      </c>
      <c r="P374" s="672"/>
      <c r="Q374" s="729" t="e">
        <f>IF(O374="",0,P374*L374/'9b-Vloeronderhoud'!$F$6)</f>
        <v>#DIV/0!</v>
      </c>
      <c r="R374" s="449">
        <v>1</v>
      </c>
      <c r="S374" s="672">
        <v>80</v>
      </c>
      <c r="T374" s="161" t="e">
        <f t="shared" si="28"/>
        <v>#DIV/0!</v>
      </c>
      <c r="U374" s="162">
        <f>IF(S374="nio",0,IF(S374&gt;0,VLOOKUP(G374,'3-Productie normen'!A:K,VLOOKUP(S374,'3-Productie normen'!L:N,3,FALSE),FALSE)))</f>
        <v>0</v>
      </c>
      <c r="V374" s="162">
        <f>VLOOKUP(G374,'3-Productie normen'!A:K,10,FALSE)</f>
        <v>16013.110036668773</v>
      </c>
      <c r="W374" s="163">
        <f>VLOOKUP(G374,'3-Productie normen'!A:K,11,FALSE)</f>
        <v>0</v>
      </c>
      <c r="X374" s="163"/>
      <c r="Z374" s="129">
        <f t="shared" si="29"/>
        <v>4723.2</v>
      </c>
    </row>
    <row r="375" spans="1:30" ht="14.1" customHeight="1">
      <c r="A375" s="144">
        <v>381</v>
      </c>
      <c r="B375" s="160" t="s">
        <v>230</v>
      </c>
      <c r="C375" s="159" t="s">
        <v>467</v>
      </c>
      <c r="D375" s="132" t="s">
        <v>98</v>
      </c>
      <c r="E375" s="702" t="s">
        <v>298</v>
      </c>
      <c r="F375" s="126" t="s">
        <v>470</v>
      </c>
      <c r="G375" s="303" t="s">
        <v>221</v>
      </c>
      <c r="H375" s="554" t="s">
        <v>375</v>
      </c>
      <c r="I375" s="582" t="str">
        <f>VLOOKUP(H375,'9a-Typen vloeren'!$A$10:$B$40,2,FALSE)</f>
        <v>n.v.t.</v>
      </c>
      <c r="J375" s="589">
        <v>58.77</v>
      </c>
      <c r="K375" s="433">
        <f t="shared" si="25"/>
        <v>0</v>
      </c>
      <c r="L375" s="433">
        <f t="shared" si="26"/>
        <v>0</v>
      </c>
      <c r="M375" s="433">
        <f t="shared" si="27"/>
        <v>0</v>
      </c>
      <c r="N375" s="672"/>
      <c r="O375" s="729">
        <f>IF(N375="",0,N375*K375/'9b-Vloeronderhoud'!$F$4)</f>
        <v>0</v>
      </c>
      <c r="P375" s="672"/>
      <c r="Q375" s="729" t="e">
        <f>IF(O375="",0,P375*L375/'9b-Vloeronderhoud'!$F$6)</f>
        <v>#DIV/0!</v>
      </c>
      <c r="R375" s="449">
        <v>1</v>
      </c>
      <c r="S375" s="672">
        <v>80</v>
      </c>
      <c r="T375" s="161" t="e">
        <f t="shared" si="28"/>
        <v>#DIV/0!</v>
      </c>
      <c r="U375" s="162">
        <f>IF(S375="nio",0,IF(S375&gt;0,VLOOKUP(G375,'3-Productie normen'!A:K,VLOOKUP(S375,'3-Productie normen'!L:N,3,FALSE),FALSE)))</f>
        <v>0</v>
      </c>
      <c r="V375" s="162">
        <f>VLOOKUP(G375,'3-Productie normen'!A:K,10,FALSE)</f>
        <v>16013.110036668773</v>
      </c>
      <c r="W375" s="163">
        <f>VLOOKUP(G375,'3-Productie normen'!A:K,11,FALSE)</f>
        <v>0</v>
      </c>
      <c r="X375" s="163"/>
      <c r="Z375" s="129">
        <f t="shared" si="29"/>
        <v>4701.6000000000004</v>
      </c>
    </row>
    <row r="376" spans="1:30" ht="14.1" customHeight="1">
      <c r="A376" s="144">
        <v>382</v>
      </c>
      <c r="B376" s="160" t="s">
        <v>230</v>
      </c>
      <c r="C376" s="159" t="s">
        <v>467</v>
      </c>
      <c r="D376" s="132" t="s">
        <v>98</v>
      </c>
      <c r="E376" s="702" t="s">
        <v>301</v>
      </c>
      <c r="F376" s="126" t="s">
        <v>471</v>
      </c>
      <c r="G376" s="172" t="s">
        <v>18</v>
      </c>
      <c r="H376" s="554" t="s">
        <v>375</v>
      </c>
      <c r="I376" s="582" t="str">
        <f>VLOOKUP(H376,'9a-Typen vloeren'!$A$10:$B$40,2,FALSE)</f>
        <v>n.v.t.</v>
      </c>
      <c r="J376" s="589">
        <v>11.92</v>
      </c>
      <c r="K376" s="433">
        <f t="shared" si="25"/>
        <v>0</v>
      </c>
      <c r="L376" s="433">
        <f t="shared" si="26"/>
        <v>0</v>
      </c>
      <c r="M376" s="433">
        <f t="shared" si="27"/>
        <v>0</v>
      </c>
      <c r="N376" s="672"/>
      <c r="O376" s="729">
        <f>IF(N376="",0,N376*K376/'9b-Vloeronderhoud'!$F$4)</f>
        <v>0</v>
      </c>
      <c r="P376" s="672"/>
      <c r="Q376" s="729" t="e">
        <f>IF(O376="",0,P376*L376/'9b-Vloeronderhoud'!$F$6)</f>
        <v>#DIV/0!</v>
      </c>
      <c r="R376" s="449">
        <v>1</v>
      </c>
      <c r="S376" s="672">
        <v>190</v>
      </c>
      <c r="T376" s="161" t="e">
        <f t="shared" si="28"/>
        <v>#DIV/0!</v>
      </c>
      <c r="U376" s="162">
        <f>IF(S376="nio",0,IF(S376&gt;0,VLOOKUP(G376,'3-Productie normen'!A:K,VLOOKUP(S376,'3-Productie normen'!L:N,3,FALSE),FALSE)))</f>
        <v>0</v>
      </c>
      <c r="V376" s="162">
        <f>VLOOKUP(G376,'3-Productie normen'!A:K,10,FALSE)</f>
        <v>1859.5880019121171</v>
      </c>
      <c r="W376" s="163">
        <f>VLOOKUP(G376,'3-Productie normen'!A:K,11,FALSE)</f>
        <v>0</v>
      </c>
      <c r="X376" s="163"/>
      <c r="Z376" s="129">
        <f t="shared" si="29"/>
        <v>2264.8000000000002</v>
      </c>
    </row>
    <row r="377" spans="1:30" ht="14.1" customHeight="1">
      <c r="A377" s="144">
        <v>383</v>
      </c>
      <c r="B377" s="160" t="s">
        <v>230</v>
      </c>
      <c r="C377" s="159" t="s">
        <v>467</v>
      </c>
      <c r="D377" s="132" t="s">
        <v>98</v>
      </c>
      <c r="E377" s="702" t="s">
        <v>303</v>
      </c>
      <c r="F377" s="126" t="s">
        <v>444</v>
      </c>
      <c r="G377" s="122" t="s">
        <v>189</v>
      </c>
      <c r="H377" s="554" t="s">
        <v>375</v>
      </c>
      <c r="I377" s="582" t="str">
        <f>VLOOKUP(H377,'9a-Typen vloeren'!$A$10:$B$40,2,FALSE)</f>
        <v>n.v.t.</v>
      </c>
      <c r="J377" s="589">
        <v>13.37</v>
      </c>
      <c r="K377" s="433">
        <f t="shared" si="25"/>
        <v>0</v>
      </c>
      <c r="L377" s="433">
        <f t="shared" si="26"/>
        <v>0</v>
      </c>
      <c r="M377" s="433">
        <f t="shared" si="27"/>
        <v>0</v>
      </c>
      <c r="N377" s="672"/>
      <c r="O377" s="729">
        <f>IF(N377="",0,N377*K377/'9b-Vloeronderhoud'!$F$4)</f>
        <v>0</v>
      </c>
      <c r="P377" s="672"/>
      <c r="Q377" s="729" t="e">
        <f>IF(O377="",0,P377*L377/'9b-Vloeronderhoud'!$F$6)</f>
        <v>#DIV/0!</v>
      </c>
      <c r="R377" s="449">
        <v>1</v>
      </c>
      <c r="S377" s="672">
        <v>40</v>
      </c>
      <c r="T377" s="161" t="e">
        <f t="shared" si="28"/>
        <v>#DIV/0!</v>
      </c>
      <c r="U377" s="162">
        <f>IF(S377="nio",0,IF(S377&gt;0,VLOOKUP(G377,'3-Productie normen'!A:K,VLOOKUP(S377,'3-Productie normen'!L:N,3,FALSE),FALSE)))</f>
        <v>0</v>
      </c>
      <c r="V377" s="162">
        <f>VLOOKUP(G377,'3-Productie normen'!A:K,10,FALSE)</f>
        <v>1494.1700078582762</v>
      </c>
      <c r="W377" s="163">
        <f>VLOOKUP(G377,'3-Productie normen'!A:K,11,FALSE)</f>
        <v>0</v>
      </c>
      <c r="X377" s="163"/>
      <c r="Z377" s="129">
        <f t="shared" si="29"/>
        <v>534.79999999999995</v>
      </c>
    </row>
    <row r="378" spans="1:30" ht="14.1" customHeight="1">
      <c r="A378" s="144">
        <v>384</v>
      </c>
      <c r="B378" s="160" t="s">
        <v>230</v>
      </c>
      <c r="C378" s="159" t="s">
        <v>467</v>
      </c>
      <c r="D378" s="132" t="s">
        <v>98</v>
      </c>
      <c r="E378" s="702" t="s">
        <v>473</v>
      </c>
      <c r="F378" s="126" t="s">
        <v>472</v>
      </c>
      <c r="G378" s="460" t="s">
        <v>99</v>
      </c>
      <c r="H378" s="554" t="s">
        <v>375</v>
      </c>
      <c r="I378" s="582" t="str">
        <f>VLOOKUP(H378,'9a-Typen vloeren'!$A$10:$B$40,2,FALSE)</f>
        <v>n.v.t.</v>
      </c>
      <c r="J378" s="589">
        <v>10.58</v>
      </c>
      <c r="K378" s="433">
        <f t="shared" si="25"/>
        <v>0</v>
      </c>
      <c r="L378" s="433">
        <f t="shared" si="26"/>
        <v>0</v>
      </c>
      <c r="M378" s="433">
        <f t="shared" si="27"/>
        <v>0</v>
      </c>
      <c r="N378" s="672"/>
      <c r="O378" s="729">
        <f>IF(N378="",0,N378*K378/'9b-Vloeronderhoud'!$F$4)</f>
        <v>0</v>
      </c>
      <c r="P378" s="672"/>
      <c r="Q378" s="729" t="e">
        <f>IF(O378="",0,P378*L378/'9b-Vloeronderhoud'!$F$6)</f>
        <v>#DIV/0!</v>
      </c>
      <c r="R378" s="449">
        <v>1</v>
      </c>
      <c r="S378" s="672">
        <v>190</v>
      </c>
      <c r="T378" s="161" t="e">
        <f t="shared" si="28"/>
        <v>#DIV/0!</v>
      </c>
      <c r="U378" s="162">
        <f>IF(S378="nio",0,IF(S378&gt;0,VLOOKUP(G378,'3-Productie normen'!A:K,VLOOKUP(S378,'3-Productie normen'!L:N,3,FALSE),FALSE)))</f>
        <v>0</v>
      </c>
      <c r="V378" s="162">
        <f>VLOOKUP(G378,'3-Productie normen'!A:K,10,FALSE)</f>
        <v>726.97999910354622</v>
      </c>
      <c r="W378" s="163">
        <f>VLOOKUP(G378,'3-Productie normen'!A:K,11,FALSE)</f>
        <v>0</v>
      </c>
      <c r="X378" s="163"/>
      <c r="Z378" s="129">
        <f t="shared" si="29"/>
        <v>2010.2</v>
      </c>
    </row>
    <row r="379" spans="1:30" ht="14.1" customHeight="1">
      <c r="A379" s="144">
        <v>385</v>
      </c>
      <c r="B379" s="160" t="s">
        <v>230</v>
      </c>
      <c r="C379" s="159" t="s">
        <v>467</v>
      </c>
      <c r="D379" s="132" t="s">
        <v>98</v>
      </c>
      <c r="E379" s="702" t="s">
        <v>476</v>
      </c>
      <c r="F379" s="126" t="s">
        <v>445</v>
      </c>
      <c r="G379" s="303" t="s">
        <v>189</v>
      </c>
      <c r="H379" s="554" t="s">
        <v>375</v>
      </c>
      <c r="I379" s="582" t="str">
        <f>VLOOKUP(H379,'9a-Typen vloeren'!$A$10:$B$40,2,FALSE)</f>
        <v>n.v.t.</v>
      </c>
      <c r="J379" s="589">
        <v>17.22</v>
      </c>
      <c r="K379" s="433">
        <f t="shared" si="25"/>
        <v>0</v>
      </c>
      <c r="L379" s="433">
        <f t="shared" si="26"/>
        <v>0</v>
      </c>
      <c r="M379" s="433">
        <f t="shared" si="27"/>
        <v>0</v>
      </c>
      <c r="N379" s="672"/>
      <c r="O379" s="729">
        <f>IF(N379="",0,N379*K379/'9b-Vloeronderhoud'!$F$4)</f>
        <v>0</v>
      </c>
      <c r="P379" s="672"/>
      <c r="Q379" s="729" t="e">
        <f>IF(O379="",0,P379*L379/'9b-Vloeronderhoud'!$F$6)</f>
        <v>#DIV/0!</v>
      </c>
      <c r="R379" s="449">
        <v>1</v>
      </c>
      <c r="S379" s="672">
        <v>40</v>
      </c>
      <c r="T379" s="161" t="e">
        <f t="shared" si="28"/>
        <v>#DIV/0!</v>
      </c>
      <c r="U379" s="162">
        <f>IF(S379="nio",0,IF(S379&gt;0,VLOOKUP(G379,'3-Productie normen'!A:K,VLOOKUP(S379,'3-Productie normen'!L:N,3,FALSE),FALSE)))</f>
        <v>0</v>
      </c>
      <c r="V379" s="162">
        <f>VLOOKUP(G379,'3-Productie normen'!A:K,10,FALSE)</f>
        <v>1494.1700078582762</v>
      </c>
      <c r="W379" s="163">
        <f>VLOOKUP(G379,'3-Productie normen'!A:K,11,FALSE)</f>
        <v>0</v>
      </c>
      <c r="X379" s="163"/>
      <c r="Z379" s="129">
        <f t="shared" si="29"/>
        <v>688.8</v>
      </c>
    </row>
    <row r="380" spans="1:30" ht="14.1" customHeight="1">
      <c r="A380" s="144">
        <v>386</v>
      </c>
      <c r="B380" s="160" t="s">
        <v>230</v>
      </c>
      <c r="C380" s="159" t="s">
        <v>467</v>
      </c>
      <c r="D380" s="132" t="s">
        <v>98</v>
      </c>
      <c r="E380" s="702" t="s">
        <v>477</v>
      </c>
      <c r="F380" s="126" t="s">
        <v>474</v>
      </c>
      <c r="G380" s="460" t="s">
        <v>881</v>
      </c>
      <c r="H380" s="554" t="s">
        <v>375</v>
      </c>
      <c r="I380" s="582" t="str">
        <f>VLOOKUP(H380,'9a-Typen vloeren'!$A$10:$B$40,2,FALSE)</f>
        <v>n.v.t.</v>
      </c>
      <c r="J380" s="589">
        <v>0.56999999999999995</v>
      </c>
      <c r="K380" s="433">
        <f t="shared" si="25"/>
        <v>0</v>
      </c>
      <c r="L380" s="433">
        <f t="shared" si="26"/>
        <v>0</v>
      </c>
      <c r="M380" s="433">
        <f t="shared" si="27"/>
        <v>0</v>
      </c>
      <c r="N380" s="672"/>
      <c r="O380" s="729">
        <f>IF(N380="",0,N380*K380/'9b-Vloeronderhoud'!$F$4)</f>
        <v>0</v>
      </c>
      <c r="P380" s="672"/>
      <c r="Q380" s="729" t="e">
        <f>IF(O380="",0,P380*L380/'9b-Vloeronderhoud'!$F$6)</f>
        <v>#DIV/0!</v>
      </c>
      <c r="R380" s="449">
        <v>1</v>
      </c>
      <c r="S380" s="672" t="s">
        <v>179</v>
      </c>
      <c r="T380" s="161">
        <f t="shared" si="28"/>
        <v>0</v>
      </c>
      <c r="U380" s="162">
        <f>IF(S380="nio",0,IF(S380&gt;0,VLOOKUP(G380,'3-Productie normen'!A:K,VLOOKUP(S380,'3-Productie normen'!L:N,3,FALSE),FALSE)))</f>
        <v>0</v>
      </c>
      <c r="V380" s="162">
        <f>VLOOKUP(G380,'3-Productie normen'!A:K,10,FALSE)</f>
        <v>5262.809993648526</v>
      </c>
      <c r="W380" s="163">
        <f>VLOOKUP(G380,'3-Productie normen'!A:K,11,FALSE)</f>
        <v>0</v>
      </c>
      <c r="X380" s="163"/>
      <c r="Z380" s="129">
        <f t="shared" si="29"/>
        <v>0</v>
      </c>
    </row>
    <row r="381" spans="1:30" ht="14.1" customHeight="1">
      <c r="A381" s="144">
        <v>387</v>
      </c>
      <c r="B381" s="160" t="s">
        <v>230</v>
      </c>
      <c r="C381" s="159" t="s">
        <v>467</v>
      </c>
      <c r="D381" s="132" t="s">
        <v>98</v>
      </c>
      <c r="E381" s="702" t="s">
        <v>478</v>
      </c>
      <c r="F381" s="126" t="s">
        <v>475</v>
      </c>
      <c r="G381" s="460" t="s">
        <v>881</v>
      </c>
      <c r="H381" s="554" t="s">
        <v>375</v>
      </c>
      <c r="I381" s="582" t="str">
        <f>VLOOKUP(H381,'9a-Typen vloeren'!$A$10:$B$40,2,FALSE)</f>
        <v>n.v.t.</v>
      </c>
      <c r="J381" s="589">
        <v>4.87</v>
      </c>
      <c r="K381" s="433">
        <f t="shared" si="25"/>
        <v>0</v>
      </c>
      <c r="L381" s="433">
        <f t="shared" si="26"/>
        <v>0</v>
      </c>
      <c r="M381" s="433">
        <f t="shared" si="27"/>
        <v>0</v>
      </c>
      <c r="N381" s="672"/>
      <c r="O381" s="729">
        <f>IF(N381="",0,N381*K381/'9b-Vloeronderhoud'!$F$4)</f>
        <v>0</v>
      </c>
      <c r="P381" s="672"/>
      <c r="Q381" s="729" t="e">
        <f>IF(O381="",0,P381*L381/'9b-Vloeronderhoud'!$F$6)</f>
        <v>#DIV/0!</v>
      </c>
      <c r="R381" s="449">
        <v>1</v>
      </c>
      <c r="S381" s="672" t="s">
        <v>179</v>
      </c>
      <c r="T381" s="161">
        <f t="shared" si="28"/>
        <v>0</v>
      </c>
      <c r="U381" s="162">
        <f>IF(S381="nio",0,IF(S381&gt;0,VLOOKUP(G381,'3-Productie normen'!A:K,VLOOKUP(S381,'3-Productie normen'!L:N,3,FALSE),FALSE)))</f>
        <v>0</v>
      </c>
      <c r="V381" s="162">
        <f>VLOOKUP(G381,'3-Productie normen'!A:K,10,FALSE)</f>
        <v>5262.809993648526</v>
      </c>
      <c r="W381" s="163">
        <f>VLOOKUP(G381,'3-Productie normen'!A:K,11,FALSE)</f>
        <v>0</v>
      </c>
      <c r="X381" s="163"/>
      <c r="Z381" s="129">
        <f t="shared" si="29"/>
        <v>0</v>
      </c>
    </row>
    <row r="382" spans="1:30" ht="14.1" customHeight="1">
      <c r="A382" s="144">
        <v>388</v>
      </c>
      <c r="B382" s="160" t="s">
        <v>230</v>
      </c>
      <c r="C382" s="159" t="s">
        <v>467</v>
      </c>
      <c r="D382" s="132" t="s">
        <v>98</v>
      </c>
      <c r="E382" s="702" t="s">
        <v>479</v>
      </c>
      <c r="F382" s="126" t="s">
        <v>480</v>
      </c>
      <c r="G382" s="122" t="s">
        <v>480</v>
      </c>
      <c r="H382" s="554" t="s">
        <v>375</v>
      </c>
      <c r="I382" s="582" t="str">
        <f>VLOOKUP(H382,'9a-Typen vloeren'!$A$10:$B$40,2,FALSE)</f>
        <v>n.v.t.</v>
      </c>
      <c r="J382" s="589">
        <v>2.7</v>
      </c>
      <c r="K382" s="433">
        <f t="shared" si="25"/>
        <v>0</v>
      </c>
      <c r="L382" s="433">
        <f t="shared" si="26"/>
        <v>0</v>
      </c>
      <c r="M382" s="433">
        <f t="shared" si="27"/>
        <v>0</v>
      </c>
      <c r="N382" s="672"/>
      <c r="O382" s="729">
        <f>IF(N382="",0,N382*K382/'9b-Vloeronderhoud'!$F$4)</f>
        <v>0</v>
      </c>
      <c r="P382" s="672"/>
      <c r="Q382" s="729" t="e">
        <f>IF(O382="",0,P382*L382/'9b-Vloeronderhoud'!$F$6)</f>
        <v>#DIV/0!</v>
      </c>
      <c r="R382" s="449">
        <v>1</v>
      </c>
      <c r="S382" s="672">
        <v>40</v>
      </c>
      <c r="T382" s="161" t="e">
        <f t="shared" si="28"/>
        <v>#DIV/0!</v>
      </c>
      <c r="U382" s="162">
        <f>IF(S382="nio",0,IF(S382&gt;0,VLOOKUP(G382,'3-Productie normen'!A:K,VLOOKUP(S382,'3-Productie normen'!L:N,3,FALSE),FALSE)))</f>
        <v>0</v>
      </c>
      <c r="V382" s="162">
        <f>VLOOKUP(G382,'3-Productie normen'!A:K,10,FALSE)</f>
        <v>31.690000023841854</v>
      </c>
      <c r="W382" s="163">
        <f>VLOOKUP(G382,'3-Productie normen'!A:K,11,FALSE)</f>
        <v>0</v>
      </c>
      <c r="X382" s="163"/>
      <c r="Z382" s="129">
        <f t="shared" si="29"/>
        <v>108</v>
      </c>
    </row>
    <row r="383" spans="1:30" ht="14.1" customHeight="1">
      <c r="A383" s="144">
        <v>389</v>
      </c>
      <c r="B383" s="160" t="s">
        <v>230</v>
      </c>
      <c r="C383" s="159" t="s">
        <v>467</v>
      </c>
      <c r="D383" s="132" t="s">
        <v>98</v>
      </c>
      <c r="E383" s="702" t="s">
        <v>482</v>
      </c>
      <c r="F383" s="126" t="s">
        <v>451</v>
      </c>
      <c r="G383" s="460" t="s">
        <v>881</v>
      </c>
      <c r="H383" s="554" t="s">
        <v>375</v>
      </c>
      <c r="I383" s="582" t="str">
        <f>VLOOKUP(H383,'9a-Typen vloeren'!$A$10:$B$40,2,FALSE)</f>
        <v>n.v.t.</v>
      </c>
      <c r="J383" s="589">
        <v>9.75</v>
      </c>
      <c r="K383" s="433">
        <f t="shared" si="25"/>
        <v>0</v>
      </c>
      <c r="L383" s="433">
        <f t="shared" si="26"/>
        <v>0</v>
      </c>
      <c r="M383" s="433">
        <f t="shared" si="27"/>
        <v>0</v>
      </c>
      <c r="N383" s="672"/>
      <c r="O383" s="729">
        <f>IF(N383="",0,N383*K383/'9b-Vloeronderhoud'!$F$4)</f>
        <v>0</v>
      </c>
      <c r="P383" s="672"/>
      <c r="Q383" s="729" t="e">
        <f>IF(O383="",0,P383*L383/'9b-Vloeronderhoud'!$F$6)</f>
        <v>#DIV/0!</v>
      </c>
      <c r="R383" s="449">
        <v>1</v>
      </c>
      <c r="S383" s="672" t="s">
        <v>179</v>
      </c>
      <c r="T383" s="161">
        <f t="shared" si="28"/>
        <v>0</v>
      </c>
      <c r="U383" s="162">
        <f>IF(S383="nio",0,IF(S383&gt;0,VLOOKUP(G383,'3-Productie normen'!A:K,VLOOKUP(S383,'3-Productie normen'!L:N,3,FALSE),FALSE)))</f>
        <v>0</v>
      </c>
      <c r="V383" s="162">
        <f>VLOOKUP(G383,'3-Productie normen'!A:K,10,FALSE)</f>
        <v>5262.809993648526</v>
      </c>
      <c r="W383" s="163">
        <f>VLOOKUP(G383,'3-Productie normen'!A:K,11,FALSE)</f>
        <v>0</v>
      </c>
      <c r="X383" s="163"/>
      <c r="Z383" s="129">
        <f t="shared" si="29"/>
        <v>0</v>
      </c>
    </row>
    <row r="384" spans="1:30" ht="14.1" customHeight="1">
      <c r="A384" s="144">
        <v>390</v>
      </c>
      <c r="B384" s="160" t="s">
        <v>230</v>
      </c>
      <c r="C384" s="159" t="s">
        <v>467</v>
      </c>
      <c r="D384" s="132" t="s">
        <v>98</v>
      </c>
      <c r="E384" s="694"/>
      <c r="F384" s="126" t="s">
        <v>481</v>
      </c>
      <c r="G384" s="460" t="s">
        <v>287</v>
      </c>
      <c r="H384" s="554" t="s">
        <v>375</v>
      </c>
      <c r="I384" s="582" t="str">
        <f>VLOOKUP(H384,'9a-Typen vloeren'!$A$10:$B$40,2,FALSE)</f>
        <v>n.v.t.</v>
      </c>
      <c r="J384" s="589">
        <v>20</v>
      </c>
      <c r="K384" s="433">
        <f t="shared" si="25"/>
        <v>0</v>
      </c>
      <c r="L384" s="433">
        <f t="shared" si="26"/>
        <v>0</v>
      </c>
      <c r="M384" s="433">
        <f t="shared" si="27"/>
        <v>0</v>
      </c>
      <c r="N384" s="672"/>
      <c r="O384" s="729">
        <f>IF(N384="",0,N384*K384/'9b-Vloeronderhoud'!$F$4)</f>
        <v>0</v>
      </c>
      <c r="P384" s="672"/>
      <c r="Q384" s="729" t="e">
        <f>IF(O384="",0,P384*L384/'9b-Vloeronderhoud'!$F$6)</f>
        <v>#DIV/0!</v>
      </c>
      <c r="R384" s="449">
        <v>1</v>
      </c>
      <c r="S384" s="672">
        <v>80</v>
      </c>
      <c r="T384" s="161" t="e">
        <f t="shared" si="28"/>
        <v>#DIV/0!</v>
      </c>
      <c r="U384" s="162">
        <f>IF(S384="nio",0,IF(S384&gt;0,VLOOKUP(G384,'3-Productie normen'!A:K,VLOOKUP(S384,'3-Productie normen'!L:N,3,FALSE),FALSE)))</f>
        <v>0</v>
      </c>
      <c r="V384" s="162">
        <f>VLOOKUP(G384,'3-Productie normen'!A:K,10,FALSE)</f>
        <v>519.460002565384</v>
      </c>
      <c r="W384" s="163">
        <f>VLOOKUP(G384,'3-Productie normen'!A:K,11,FALSE)</f>
        <v>0</v>
      </c>
      <c r="X384" s="163"/>
      <c r="Z384" s="129">
        <f t="shared" si="29"/>
        <v>1600</v>
      </c>
    </row>
    <row r="385" spans="1:26" ht="14.1" customHeight="1">
      <c r="A385" s="144">
        <v>391</v>
      </c>
      <c r="B385" s="160" t="s">
        <v>230</v>
      </c>
      <c r="C385" s="159" t="s">
        <v>467</v>
      </c>
      <c r="D385" s="132">
        <v>1</v>
      </c>
      <c r="E385" s="694" t="s">
        <v>485</v>
      </c>
      <c r="F385" s="303" t="s">
        <v>483</v>
      </c>
      <c r="G385" s="545" t="s">
        <v>286</v>
      </c>
      <c r="H385" s="554" t="s">
        <v>375</v>
      </c>
      <c r="I385" s="582" t="str">
        <f>VLOOKUP(H385,'9a-Typen vloeren'!$A$10:$B$40,2,FALSE)</f>
        <v>n.v.t.</v>
      </c>
      <c r="J385" s="589">
        <v>106.87</v>
      </c>
      <c r="K385" s="433">
        <f t="shared" si="25"/>
        <v>0</v>
      </c>
      <c r="L385" s="433">
        <f t="shared" si="26"/>
        <v>0</v>
      </c>
      <c r="M385" s="433">
        <f t="shared" si="27"/>
        <v>0</v>
      </c>
      <c r="N385" s="672"/>
      <c r="O385" s="729">
        <f>IF(N385="",0,N385*K385/'9b-Vloeronderhoud'!$F$4)</f>
        <v>0</v>
      </c>
      <c r="P385" s="672"/>
      <c r="Q385" s="729" t="e">
        <f>IF(O385="",0,P385*L385/'9b-Vloeronderhoud'!$F$6)</f>
        <v>#DIV/0!</v>
      </c>
      <c r="R385" s="449">
        <v>1</v>
      </c>
      <c r="S385" s="672">
        <v>120</v>
      </c>
      <c r="T385" s="161" t="e">
        <f t="shared" si="28"/>
        <v>#DIV/0!</v>
      </c>
      <c r="U385" s="162">
        <f>IF(S385="nio",0,IF(S385&gt;0,VLOOKUP(G385,'3-Productie normen'!A:K,VLOOKUP(S385,'3-Productie normen'!L:N,3,FALSE),FALSE)))</f>
        <v>0</v>
      </c>
      <c r="V385" s="162">
        <f>VLOOKUP(G385,'3-Productie normen'!A:K,10,FALSE)</f>
        <v>6152.9500017547598</v>
      </c>
      <c r="W385" s="163">
        <f>VLOOKUP(G385,'3-Productie normen'!A:K,11,FALSE)</f>
        <v>0</v>
      </c>
      <c r="X385" s="163"/>
      <c r="Z385" s="129">
        <f t="shared" si="29"/>
        <v>12824.400000000001</v>
      </c>
    </row>
    <row r="386" spans="1:26" ht="14.1" customHeight="1">
      <c r="A386" s="144">
        <v>392</v>
      </c>
      <c r="B386" s="160" t="s">
        <v>230</v>
      </c>
      <c r="C386" s="159" t="s">
        <v>467</v>
      </c>
      <c r="D386" s="132">
        <v>1</v>
      </c>
      <c r="E386" s="694" t="s">
        <v>354</v>
      </c>
      <c r="F386" s="303" t="s">
        <v>316</v>
      </c>
      <c r="G386" s="460" t="s">
        <v>881</v>
      </c>
      <c r="H386" s="554" t="s">
        <v>375</v>
      </c>
      <c r="I386" s="582" t="str">
        <f>VLOOKUP(H386,'9a-Typen vloeren'!$A$10:$B$40,2,FALSE)</f>
        <v>n.v.t.</v>
      </c>
      <c r="J386" s="589">
        <v>8.25</v>
      </c>
      <c r="K386" s="433">
        <f t="shared" si="25"/>
        <v>0</v>
      </c>
      <c r="L386" s="433">
        <f t="shared" si="26"/>
        <v>0</v>
      </c>
      <c r="M386" s="433">
        <f t="shared" si="27"/>
        <v>0</v>
      </c>
      <c r="N386" s="672"/>
      <c r="O386" s="729">
        <f>IF(N386="",0,N386*K386/'9b-Vloeronderhoud'!$F$4)</f>
        <v>0</v>
      </c>
      <c r="P386" s="672"/>
      <c r="Q386" s="729" t="e">
        <f>IF(O386="",0,P386*L386/'9b-Vloeronderhoud'!$F$6)</f>
        <v>#DIV/0!</v>
      </c>
      <c r="R386" s="449">
        <v>1</v>
      </c>
      <c r="S386" s="672" t="s">
        <v>179</v>
      </c>
      <c r="T386" s="161">
        <f t="shared" si="28"/>
        <v>0</v>
      </c>
      <c r="U386" s="162">
        <f>IF(S386="nio",0,IF(S386&gt;0,VLOOKUP(G386,'3-Productie normen'!A:K,VLOOKUP(S386,'3-Productie normen'!L:N,3,FALSE),FALSE)))</f>
        <v>0</v>
      </c>
      <c r="V386" s="162">
        <f>VLOOKUP(G386,'3-Productie normen'!A:K,10,FALSE)</f>
        <v>5262.809993648526</v>
      </c>
      <c r="W386" s="163">
        <f>VLOOKUP(G386,'3-Productie normen'!A:K,11,FALSE)</f>
        <v>0</v>
      </c>
      <c r="X386" s="163"/>
      <c r="Z386" s="129">
        <f t="shared" si="29"/>
        <v>0</v>
      </c>
    </row>
    <row r="387" spans="1:26" ht="14.1" customHeight="1">
      <c r="A387" s="144">
        <v>393</v>
      </c>
      <c r="B387" s="160" t="s">
        <v>230</v>
      </c>
      <c r="C387" s="159" t="s">
        <v>467</v>
      </c>
      <c r="D387" s="132">
        <v>1</v>
      </c>
      <c r="E387" s="694" t="s">
        <v>355</v>
      </c>
      <c r="F387" s="126" t="s">
        <v>316</v>
      </c>
      <c r="G387" s="460" t="s">
        <v>881</v>
      </c>
      <c r="H387" s="554" t="s">
        <v>375</v>
      </c>
      <c r="I387" s="582" t="str">
        <f>VLOOKUP(H387,'9a-Typen vloeren'!$A$10:$B$40,2,FALSE)</f>
        <v>n.v.t.</v>
      </c>
      <c r="J387" s="589">
        <v>113.06</v>
      </c>
      <c r="K387" s="433">
        <f t="shared" si="25"/>
        <v>0</v>
      </c>
      <c r="L387" s="433">
        <f t="shared" si="26"/>
        <v>0</v>
      </c>
      <c r="M387" s="433">
        <f t="shared" si="27"/>
        <v>0</v>
      </c>
      <c r="N387" s="672"/>
      <c r="O387" s="729">
        <f>IF(N387="",0,N387*K387/'9b-Vloeronderhoud'!$F$4)</f>
        <v>0</v>
      </c>
      <c r="P387" s="672"/>
      <c r="Q387" s="729" t="e">
        <f>IF(O387="",0,P387*L387/'9b-Vloeronderhoud'!$F$6)</f>
        <v>#DIV/0!</v>
      </c>
      <c r="R387" s="449">
        <v>1</v>
      </c>
      <c r="S387" s="672" t="s">
        <v>179</v>
      </c>
      <c r="T387" s="161">
        <f t="shared" si="28"/>
        <v>0</v>
      </c>
      <c r="U387" s="162">
        <f>IF(S387="nio",0,IF(S387&gt;0,VLOOKUP(G387,'3-Productie normen'!A:K,VLOOKUP(S387,'3-Productie normen'!L:N,3,FALSE),FALSE)))</f>
        <v>0</v>
      </c>
      <c r="V387" s="162">
        <f>VLOOKUP(G387,'3-Productie normen'!A:K,10,FALSE)</f>
        <v>5262.809993648526</v>
      </c>
      <c r="W387" s="163">
        <f>VLOOKUP(G387,'3-Productie normen'!A:K,11,FALSE)</f>
        <v>0</v>
      </c>
      <c r="X387" s="163"/>
      <c r="Z387" s="129">
        <f t="shared" si="29"/>
        <v>0</v>
      </c>
    </row>
    <row r="388" spans="1:26" ht="14.1" customHeight="1">
      <c r="A388" s="144">
        <v>394</v>
      </c>
      <c r="B388" s="160" t="s">
        <v>230</v>
      </c>
      <c r="C388" s="159" t="s">
        <v>467</v>
      </c>
      <c r="D388" s="132">
        <v>1</v>
      </c>
      <c r="E388" s="694" t="s">
        <v>356</v>
      </c>
      <c r="F388" s="126" t="s">
        <v>470</v>
      </c>
      <c r="G388" s="533" t="s">
        <v>221</v>
      </c>
      <c r="H388" s="554" t="s">
        <v>375</v>
      </c>
      <c r="I388" s="582" t="str">
        <f>VLOOKUP(H388,'9a-Typen vloeren'!$A$10:$B$40,2,FALSE)</f>
        <v>n.v.t.</v>
      </c>
      <c r="J388" s="589">
        <v>56.34</v>
      </c>
      <c r="K388" s="433">
        <f t="shared" si="25"/>
        <v>0</v>
      </c>
      <c r="L388" s="433">
        <f t="shared" si="26"/>
        <v>0</v>
      </c>
      <c r="M388" s="433">
        <f t="shared" si="27"/>
        <v>0</v>
      </c>
      <c r="N388" s="672"/>
      <c r="O388" s="729">
        <f>IF(N388="",0,N388*K388/'9b-Vloeronderhoud'!$F$4)</f>
        <v>0</v>
      </c>
      <c r="P388" s="672"/>
      <c r="Q388" s="729" t="e">
        <f>IF(O388="",0,P388*L388/'9b-Vloeronderhoud'!$F$6)</f>
        <v>#DIV/0!</v>
      </c>
      <c r="R388" s="449">
        <v>1</v>
      </c>
      <c r="S388" s="672">
        <v>80</v>
      </c>
      <c r="T388" s="161" t="e">
        <f t="shared" si="28"/>
        <v>#DIV/0!</v>
      </c>
      <c r="U388" s="162">
        <f>IF(S388="nio",0,IF(S388&gt;0,VLOOKUP(G388,'3-Productie normen'!A:K,VLOOKUP(S388,'3-Productie normen'!L:N,3,FALSE),FALSE)))</f>
        <v>0</v>
      </c>
      <c r="V388" s="162">
        <f>VLOOKUP(G388,'3-Productie normen'!A:K,10,FALSE)</f>
        <v>16013.110036668773</v>
      </c>
      <c r="W388" s="163">
        <f>VLOOKUP(G388,'3-Productie normen'!A:K,11,FALSE)</f>
        <v>0</v>
      </c>
      <c r="X388" s="163"/>
      <c r="Z388" s="129">
        <f t="shared" si="29"/>
        <v>4507.2000000000007</v>
      </c>
    </row>
    <row r="389" spans="1:26" ht="14.1" customHeight="1">
      <c r="A389" s="144">
        <v>395</v>
      </c>
      <c r="B389" s="160" t="s">
        <v>230</v>
      </c>
      <c r="C389" s="159" t="s">
        <v>467</v>
      </c>
      <c r="D389" s="132">
        <v>1</v>
      </c>
      <c r="E389" s="694" t="s">
        <v>357</v>
      </c>
      <c r="F389" s="126" t="s">
        <v>470</v>
      </c>
      <c r="G389" s="460" t="s">
        <v>221</v>
      </c>
      <c r="H389" s="554" t="s">
        <v>375</v>
      </c>
      <c r="I389" s="582" t="str">
        <f>VLOOKUP(H389,'9a-Typen vloeren'!$A$10:$B$40,2,FALSE)</f>
        <v>n.v.t.</v>
      </c>
      <c r="J389" s="589">
        <v>58.16</v>
      </c>
      <c r="K389" s="433">
        <f t="shared" ref="K389:K452" si="30">IF(G389="niet in onderhoud",0,IF(I389="sprayen/ conserveren",J389,0))</f>
        <v>0</v>
      </c>
      <c r="L389" s="433">
        <f t="shared" ref="L389:L452" si="31">IF(G389="niet in onderhoud",0,IF(I389="schrobben",J389,0))</f>
        <v>0</v>
      </c>
      <c r="M389" s="433">
        <f t="shared" ref="M389:M452" si="32">IF(G389="niet in onderhoud",0,IF(I389="Sproei/extraheren",J389,0))</f>
        <v>0</v>
      </c>
      <c r="N389" s="672"/>
      <c r="O389" s="729">
        <f>IF(N389="",0,N389*K389/'9b-Vloeronderhoud'!$F$4)</f>
        <v>0</v>
      </c>
      <c r="P389" s="672"/>
      <c r="Q389" s="729" t="e">
        <f>IF(O389="",0,P389*L389/'9b-Vloeronderhoud'!$F$6)</f>
        <v>#DIV/0!</v>
      </c>
      <c r="R389" s="449">
        <v>1</v>
      </c>
      <c r="S389" s="672">
        <v>80</v>
      </c>
      <c r="T389" s="161" t="e">
        <f t="shared" si="28"/>
        <v>#DIV/0!</v>
      </c>
      <c r="U389" s="162">
        <f>IF(S389="nio",0,IF(S389&gt;0,VLOOKUP(G389,'3-Productie normen'!A:K,VLOOKUP(S389,'3-Productie normen'!L:N,3,FALSE),FALSE)))</f>
        <v>0</v>
      </c>
      <c r="V389" s="162">
        <f>VLOOKUP(G389,'3-Productie normen'!A:K,10,FALSE)</f>
        <v>16013.110036668773</v>
      </c>
      <c r="W389" s="163">
        <f>VLOOKUP(G389,'3-Productie normen'!A:K,11,FALSE)</f>
        <v>0</v>
      </c>
      <c r="X389" s="163"/>
      <c r="Z389" s="129">
        <f t="shared" si="29"/>
        <v>4652.7999999999993</v>
      </c>
    </row>
    <row r="390" spans="1:26" ht="14.1" customHeight="1">
      <c r="A390" s="144">
        <v>396</v>
      </c>
      <c r="B390" s="160" t="s">
        <v>230</v>
      </c>
      <c r="C390" s="159" t="s">
        <v>467</v>
      </c>
      <c r="D390" s="132">
        <v>1</v>
      </c>
      <c r="E390" s="694" t="s">
        <v>358</v>
      </c>
      <c r="F390" s="126" t="s">
        <v>391</v>
      </c>
      <c r="G390" s="460" t="s">
        <v>881</v>
      </c>
      <c r="H390" s="554" t="s">
        <v>375</v>
      </c>
      <c r="I390" s="582" t="str">
        <f>VLOOKUP(H390,'9a-Typen vloeren'!$A$10:$B$40,2,FALSE)</f>
        <v>n.v.t.</v>
      </c>
      <c r="J390" s="589">
        <v>9.64</v>
      </c>
      <c r="K390" s="433">
        <f t="shared" si="30"/>
        <v>0</v>
      </c>
      <c r="L390" s="433">
        <f t="shared" si="31"/>
        <v>0</v>
      </c>
      <c r="M390" s="433">
        <f t="shared" si="32"/>
        <v>0</v>
      </c>
      <c r="N390" s="672"/>
      <c r="O390" s="729">
        <f>IF(N390="",0,N390*K390/'9b-Vloeronderhoud'!$F$4)</f>
        <v>0</v>
      </c>
      <c r="P390" s="672"/>
      <c r="Q390" s="729" t="e">
        <f>IF(O390="",0,P390*L390/'9b-Vloeronderhoud'!$F$6)</f>
        <v>#DIV/0!</v>
      </c>
      <c r="R390" s="449">
        <v>1</v>
      </c>
      <c r="S390" s="672" t="s">
        <v>179</v>
      </c>
      <c r="T390" s="161">
        <f t="shared" si="28"/>
        <v>0</v>
      </c>
      <c r="U390" s="162">
        <f>IF(S390="nio",0,IF(S390&gt;0,VLOOKUP(G390,'3-Productie normen'!A:K,VLOOKUP(S390,'3-Productie normen'!L:N,3,FALSE),FALSE)))</f>
        <v>0</v>
      </c>
      <c r="V390" s="162">
        <f>VLOOKUP(G390,'3-Productie normen'!A:K,10,FALSE)</f>
        <v>5262.809993648526</v>
      </c>
      <c r="W390" s="163">
        <f>VLOOKUP(G390,'3-Productie normen'!A:K,11,FALSE)</f>
        <v>0</v>
      </c>
      <c r="X390" s="163"/>
      <c r="Z390" s="129">
        <f t="shared" si="29"/>
        <v>0</v>
      </c>
    </row>
    <row r="391" spans="1:26" ht="14.1" customHeight="1">
      <c r="A391" s="144">
        <v>397</v>
      </c>
      <c r="B391" s="160" t="s">
        <v>230</v>
      </c>
      <c r="C391" s="159" t="s">
        <v>467</v>
      </c>
      <c r="D391" s="132">
        <v>1</v>
      </c>
      <c r="E391" s="694" t="s">
        <v>359</v>
      </c>
      <c r="F391" s="126" t="s">
        <v>452</v>
      </c>
      <c r="G391" s="122" t="s">
        <v>18</v>
      </c>
      <c r="H391" s="554" t="s">
        <v>375</v>
      </c>
      <c r="I391" s="582" t="str">
        <f>VLOOKUP(H391,'9a-Typen vloeren'!$A$10:$B$40,2,FALSE)</f>
        <v>n.v.t.</v>
      </c>
      <c r="J391" s="589">
        <v>6.73</v>
      </c>
      <c r="K391" s="433">
        <f t="shared" si="30"/>
        <v>0</v>
      </c>
      <c r="L391" s="433">
        <f t="shared" si="31"/>
        <v>0</v>
      </c>
      <c r="M391" s="433">
        <f t="shared" si="32"/>
        <v>0</v>
      </c>
      <c r="N391" s="672"/>
      <c r="O391" s="729">
        <f>IF(N391="",0,N391*K391/'9b-Vloeronderhoud'!$F$4)</f>
        <v>0</v>
      </c>
      <c r="P391" s="672"/>
      <c r="Q391" s="729" t="e">
        <f>IF(O391="",0,P391*L391/'9b-Vloeronderhoud'!$F$6)</f>
        <v>#DIV/0!</v>
      </c>
      <c r="R391" s="449">
        <v>1</v>
      </c>
      <c r="S391" s="672">
        <v>190</v>
      </c>
      <c r="T391" s="161" t="e">
        <f t="shared" si="28"/>
        <v>#DIV/0!</v>
      </c>
      <c r="U391" s="162">
        <f>IF(S391="nio",0,IF(S391&gt;0,VLOOKUP(G391,'3-Productie normen'!A:K,VLOOKUP(S391,'3-Productie normen'!L:N,3,FALSE),FALSE)))</f>
        <v>0</v>
      </c>
      <c r="V391" s="162">
        <f>VLOOKUP(G391,'3-Productie normen'!A:K,10,FALSE)</f>
        <v>1859.5880019121171</v>
      </c>
      <c r="W391" s="163">
        <f>VLOOKUP(G391,'3-Productie normen'!A:K,11,FALSE)</f>
        <v>0</v>
      </c>
      <c r="X391" s="163"/>
      <c r="Z391" s="129">
        <f t="shared" si="29"/>
        <v>1278.7</v>
      </c>
    </row>
    <row r="392" spans="1:26" ht="14.1" customHeight="1">
      <c r="A392" s="144">
        <v>398</v>
      </c>
      <c r="B392" s="160" t="s">
        <v>230</v>
      </c>
      <c r="C392" s="159" t="s">
        <v>467</v>
      </c>
      <c r="D392" s="132">
        <v>1</v>
      </c>
      <c r="E392" s="694" t="s">
        <v>361</v>
      </c>
      <c r="F392" s="126" t="s">
        <v>490</v>
      </c>
      <c r="G392" s="547" t="s">
        <v>286</v>
      </c>
      <c r="H392" s="554" t="s">
        <v>375</v>
      </c>
      <c r="I392" s="582" t="str">
        <f>VLOOKUP(H392,'9a-Typen vloeren'!$A$10:$B$40,2,FALSE)</f>
        <v>n.v.t.</v>
      </c>
      <c r="J392" s="589">
        <v>9.01</v>
      </c>
      <c r="K392" s="433">
        <f t="shared" si="30"/>
        <v>0</v>
      </c>
      <c r="L392" s="433">
        <f t="shared" si="31"/>
        <v>0</v>
      </c>
      <c r="M392" s="433">
        <f t="shared" si="32"/>
        <v>0</v>
      </c>
      <c r="N392" s="672"/>
      <c r="O392" s="729">
        <f>IF(N392="",0,N392*K392/'9b-Vloeronderhoud'!$F$4)</f>
        <v>0</v>
      </c>
      <c r="P392" s="672"/>
      <c r="Q392" s="729" t="e">
        <f>IF(O392="",0,P392*L392/'9b-Vloeronderhoud'!$F$6)</f>
        <v>#DIV/0!</v>
      </c>
      <c r="R392" s="449">
        <v>1</v>
      </c>
      <c r="S392" s="672">
        <v>80</v>
      </c>
      <c r="T392" s="161" t="e">
        <f t="shared" si="28"/>
        <v>#DIV/0!</v>
      </c>
      <c r="U392" s="162">
        <f>IF(S392="nio",0,IF(S392&gt;0,VLOOKUP(G392,'3-Productie normen'!A:K,VLOOKUP(S392,'3-Productie normen'!L:N,3,FALSE),FALSE)))</f>
        <v>0</v>
      </c>
      <c r="V392" s="162">
        <f>VLOOKUP(G392,'3-Productie normen'!A:K,10,FALSE)</f>
        <v>6152.9500017547598</v>
      </c>
      <c r="W392" s="163">
        <f>VLOOKUP(G392,'3-Productie normen'!A:K,11,FALSE)</f>
        <v>0</v>
      </c>
      <c r="X392" s="163"/>
      <c r="Z392" s="129">
        <f t="shared" si="29"/>
        <v>720.8</v>
      </c>
    </row>
    <row r="393" spans="1:26" ht="14.1" customHeight="1">
      <c r="A393" s="144">
        <v>399</v>
      </c>
      <c r="B393" s="160" t="s">
        <v>230</v>
      </c>
      <c r="C393" s="159" t="s">
        <v>467</v>
      </c>
      <c r="D393" s="132">
        <v>1</v>
      </c>
      <c r="E393" s="694" t="s">
        <v>363</v>
      </c>
      <c r="F393" s="126" t="s">
        <v>452</v>
      </c>
      <c r="G393" s="460" t="s">
        <v>18</v>
      </c>
      <c r="H393" s="554" t="s">
        <v>375</v>
      </c>
      <c r="I393" s="582" t="str">
        <f>VLOOKUP(H393,'9a-Typen vloeren'!$A$10:$B$40,2,FALSE)</f>
        <v>n.v.t.</v>
      </c>
      <c r="J393" s="589">
        <v>6.49</v>
      </c>
      <c r="K393" s="433">
        <f t="shared" si="30"/>
        <v>0</v>
      </c>
      <c r="L393" s="433">
        <f t="shared" si="31"/>
        <v>0</v>
      </c>
      <c r="M393" s="433">
        <f t="shared" si="32"/>
        <v>0</v>
      </c>
      <c r="N393" s="672"/>
      <c r="O393" s="729">
        <f>IF(N393="",0,N393*K393/'9b-Vloeronderhoud'!$F$4)</f>
        <v>0</v>
      </c>
      <c r="P393" s="672"/>
      <c r="Q393" s="729" t="e">
        <f>IF(O393="",0,P393*L393/'9b-Vloeronderhoud'!$F$6)</f>
        <v>#DIV/0!</v>
      </c>
      <c r="R393" s="449">
        <v>1</v>
      </c>
      <c r="S393" s="672">
        <v>190</v>
      </c>
      <c r="T393" s="161" t="e">
        <f t="shared" si="28"/>
        <v>#DIV/0!</v>
      </c>
      <c r="U393" s="162">
        <f>IF(S393="nio",0,IF(S393&gt;0,VLOOKUP(G393,'3-Productie normen'!A:K,VLOOKUP(S393,'3-Productie normen'!L:N,3,FALSE),FALSE)))</f>
        <v>0</v>
      </c>
      <c r="V393" s="162">
        <f>VLOOKUP(G393,'3-Productie normen'!A:K,10,FALSE)</f>
        <v>1859.5880019121171</v>
      </c>
      <c r="W393" s="163">
        <f>VLOOKUP(G393,'3-Productie normen'!A:K,11,FALSE)</f>
        <v>0</v>
      </c>
      <c r="X393" s="163"/>
      <c r="Z393" s="129">
        <f t="shared" si="29"/>
        <v>1233.1000000000001</v>
      </c>
    </row>
    <row r="394" spans="1:26" ht="14.1" customHeight="1">
      <c r="A394" s="144">
        <v>400</v>
      </c>
      <c r="B394" s="160" t="s">
        <v>230</v>
      </c>
      <c r="C394" s="160" t="s">
        <v>467</v>
      </c>
      <c r="D394" s="132">
        <v>1</v>
      </c>
      <c r="E394" s="702" t="s">
        <v>364</v>
      </c>
      <c r="F394" s="159" t="s">
        <v>484</v>
      </c>
      <c r="G394" s="460" t="s">
        <v>881</v>
      </c>
      <c r="H394" s="554" t="s">
        <v>375</v>
      </c>
      <c r="I394" s="582" t="str">
        <f>VLOOKUP(H394,'9a-Typen vloeren'!$A$10:$B$40,2,FALSE)</f>
        <v>n.v.t.</v>
      </c>
      <c r="J394" s="589">
        <v>41.98</v>
      </c>
      <c r="K394" s="433">
        <f t="shared" si="30"/>
        <v>0</v>
      </c>
      <c r="L394" s="433">
        <f t="shared" si="31"/>
        <v>0</v>
      </c>
      <c r="M394" s="433">
        <f t="shared" si="32"/>
        <v>0</v>
      </c>
      <c r="N394" s="672"/>
      <c r="O394" s="729">
        <f>IF(N394="",0,N394*K394/'9b-Vloeronderhoud'!$F$4)</f>
        <v>0</v>
      </c>
      <c r="P394" s="672"/>
      <c r="Q394" s="729" t="e">
        <f>IF(O394="",0,P394*L394/'9b-Vloeronderhoud'!$F$6)</f>
        <v>#DIV/0!</v>
      </c>
      <c r="R394" s="449">
        <v>1</v>
      </c>
      <c r="S394" s="672" t="s">
        <v>179</v>
      </c>
      <c r="T394" s="161">
        <f t="shared" ref="T394:T457" si="33">IF(S394="nio",0,IF(S394&gt;0,S394*J394/U394,0))*R394</f>
        <v>0</v>
      </c>
      <c r="U394" s="162">
        <f>IF(S394="nio",0,IF(S394&gt;0,VLOOKUP(G394,'3-Productie normen'!A:K,VLOOKUP(S394,'3-Productie normen'!L:N,3,FALSE),FALSE)))</f>
        <v>0</v>
      </c>
      <c r="V394" s="162">
        <f>VLOOKUP(G394,'3-Productie normen'!A:K,10,FALSE)</f>
        <v>5262.809993648526</v>
      </c>
      <c r="W394" s="163">
        <f>VLOOKUP(G394,'3-Productie normen'!A:K,11,FALSE)</f>
        <v>0</v>
      </c>
      <c r="X394" s="163"/>
      <c r="Z394" s="129">
        <f t="shared" ref="Z394:Z457" si="34">SUM(S394:S394)*J394</f>
        <v>0</v>
      </c>
    </row>
    <row r="395" spans="1:26" ht="14.1" customHeight="1">
      <c r="A395" s="144">
        <v>401</v>
      </c>
      <c r="B395" s="160" t="s">
        <v>230</v>
      </c>
      <c r="C395" s="160" t="s">
        <v>467</v>
      </c>
      <c r="D395" s="132">
        <v>1</v>
      </c>
      <c r="E395" s="702" t="s">
        <v>366</v>
      </c>
      <c r="F395" s="159" t="s">
        <v>350</v>
      </c>
      <c r="G395" s="460" t="s">
        <v>299</v>
      </c>
      <c r="H395" s="554" t="s">
        <v>375</v>
      </c>
      <c r="I395" s="582" t="str">
        <f>VLOOKUP(H395,'9a-Typen vloeren'!$A$10:$B$40,2,FALSE)</f>
        <v>n.v.t.</v>
      </c>
      <c r="J395" s="589">
        <v>42.43</v>
      </c>
      <c r="K395" s="433">
        <f t="shared" si="30"/>
        <v>0</v>
      </c>
      <c r="L395" s="433">
        <f t="shared" si="31"/>
        <v>0</v>
      </c>
      <c r="M395" s="433">
        <f t="shared" si="32"/>
        <v>0</v>
      </c>
      <c r="N395" s="672"/>
      <c r="O395" s="729">
        <f>IF(N395="",0,N395*K395/'9b-Vloeronderhoud'!$F$4)</f>
        <v>0</v>
      </c>
      <c r="P395" s="672"/>
      <c r="Q395" s="729" t="e">
        <f>IF(O395="",0,P395*L395/'9b-Vloeronderhoud'!$F$6)</f>
        <v>#DIV/0!</v>
      </c>
      <c r="R395" s="449">
        <v>1</v>
      </c>
      <c r="S395" s="672">
        <v>40</v>
      </c>
      <c r="T395" s="161" t="e">
        <f t="shared" si="33"/>
        <v>#DIV/0!</v>
      </c>
      <c r="U395" s="162">
        <f>IF(S395="nio",0,IF(S395&gt;0,VLOOKUP(G395,'3-Productie normen'!A:K,VLOOKUP(S395,'3-Productie normen'!L:N,3,FALSE),FALSE)))</f>
        <v>0</v>
      </c>
      <c r="V395" s="162">
        <f>VLOOKUP(G395,'3-Productie normen'!A:K,10,FALSE)</f>
        <v>1107.9100014114381</v>
      </c>
      <c r="W395" s="163">
        <f>VLOOKUP(G395,'3-Productie normen'!A:K,11,FALSE)</f>
        <v>0</v>
      </c>
      <c r="X395" s="163"/>
      <c r="Z395" s="129">
        <f t="shared" si="34"/>
        <v>1697.2</v>
      </c>
    </row>
    <row r="396" spans="1:26" ht="14.1" customHeight="1">
      <c r="A396" s="144">
        <v>402</v>
      </c>
      <c r="B396" s="160" t="s">
        <v>230</v>
      </c>
      <c r="C396" s="160" t="s">
        <v>467</v>
      </c>
      <c r="D396" s="132">
        <v>1</v>
      </c>
      <c r="E396" s="702" t="s">
        <v>368</v>
      </c>
      <c r="F396" s="159" t="s">
        <v>399</v>
      </c>
      <c r="G396" s="460" t="s">
        <v>191</v>
      </c>
      <c r="H396" s="554" t="s">
        <v>375</v>
      </c>
      <c r="I396" s="582" t="str">
        <f>VLOOKUP(H396,'9a-Typen vloeren'!$A$10:$B$40,2,FALSE)</f>
        <v>n.v.t.</v>
      </c>
      <c r="J396" s="589">
        <v>25.44</v>
      </c>
      <c r="K396" s="433">
        <f t="shared" si="30"/>
        <v>0</v>
      </c>
      <c r="L396" s="433">
        <f t="shared" si="31"/>
        <v>0</v>
      </c>
      <c r="M396" s="433">
        <f t="shared" si="32"/>
        <v>0</v>
      </c>
      <c r="N396" s="672"/>
      <c r="O396" s="729">
        <f>IF(N396="",0,N396*K396/'9b-Vloeronderhoud'!$F$4)</f>
        <v>0</v>
      </c>
      <c r="P396" s="672"/>
      <c r="Q396" s="729" t="e">
        <f>IF(O396="",0,P396*L396/'9b-Vloeronderhoud'!$F$6)</f>
        <v>#DIV/0!</v>
      </c>
      <c r="R396" s="449">
        <v>1</v>
      </c>
      <c r="S396" s="672">
        <v>40</v>
      </c>
      <c r="T396" s="161" t="e">
        <f t="shared" si="33"/>
        <v>#DIV/0!</v>
      </c>
      <c r="U396" s="162">
        <f>IF(S396="nio",0,IF(S396&gt;0,VLOOKUP(G396,'3-Productie normen'!A:K,VLOOKUP(S396,'3-Productie normen'!L:N,3,FALSE),FALSE)))</f>
        <v>0</v>
      </c>
      <c r="V396" s="162">
        <f>VLOOKUP(G396,'3-Productie normen'!A:K,10,FALSE)</f>
        <v>314.55999933242794</v>
      </c>
      <c r="W396" s="163">
        <f>VLOOKUP(G396,'3-Productie normen'!A:K,11,FALSE)</f>
        <v>0</v>
      </c>
      <c r="X396" s="163"/>
      <c r="Z396" s="129">
        <f t="shared" si="34"/>
        <v>1017.6</v>
      </c>
    </row>
    <row r="397" spans="1:26" ht="14.1" customHeight="1">
      <c r="A397" s="144">
        <v>403</v>
      </c>
      <c r="B397" s="160" t="s">
        <v>230</v>
      </c>
      <c r="C397" s="160" t="s">
        <v>467</v>
      </c>
      <c r="D397" s="132">
        <v>1</v>
      </c>
      <c r="E397" s="702" t="s">
        <v>369</v>
      </c>
      <c r="F397" s="160" t="s">
        <v>475</v>
      </c>
      <c r="G397" s="460" t="s">
        <v>881</v>
      </c>
      <c r="H397" s="554" t="s">
        <v>375</v>
      </c>
      <c r="I397" s="582" t="str">
        <f>VLOOKUP(H397,'9a-Typen vloeren'!$A$10:$B$40,2,FALSE)</f>
        <v>n.v.t.</v>
      </c>
      <c r="J397" s="589">
        <v>12.51</v>
      </c>
      <c r="K397" s="433">
        <f t="shared" si="30"/>
        <v>0</v>
      </c>
      <c r="L397" s="433">
        <f t="shared" si="31"/>
        <v>0</v>
      </c>
      <c r="M397" s="433">
        <f t="shared" si="32"/>
        <v>0</v>
      </c>
      <c r="N397" s="672"/>
      <c r="O397" s="729">
        <f>IF(N397="",0,N397*K397/'9b-Vloeronderhoud'!$F$4)</f>
        <v>0</v>
      </c>
      <c r="P397" s="672"/>
      <c r="Q397" s="729" t="e">
        <f>IF(O397="",0,P397*L397/'9b-Vloeronderhoud'!$F$6)</f>
        <v>#DIV/0!</v>
      </c>
      <c r="R397" s="449">
        <v>1</v>
      </c>
      <c r="S397" s="672" t="s">
        <v>179</v>
      </c>
      <c r="T397" s="161">
        <f t="shared" si="33"/>
        <v>0</v>
      </c>
      <c r="U397" s="162">
        <f>IF(S397="nio",0,IF(S397&gt;0,VLOOKUP(G397,'3-Productie normen'!A:K,VLOOKUP(S397,'3-Productie normen'!L:N,3,FALSE),FALSE)))</f>
        <v>0</v>
      </c>
      <c r="V397" s="162">
        <f>VLOOKUP(G397,'3-Productie normen'!A:K,10,FALSE)</f>
        <v>5262.809993648526</v>
      </c>
      <c r="W397" s="163">
        <f>VLOOKUP(G397,'3-Productie normen'!A:K,11,FALSE)</f>
        <v>0</v>
      </c>
      <c r="X397" s="163"/>
      <c r="Z397" s="129">
        <f t="shared" si="34"/>
        <v>0</v>
      </c>
    </row>
    <row r="398" spans="1:26" ht="14.1" customHeight="1">
      <c r="A398" s="144">
        <v>404</v>
      </c>
      <c r="B398" s="160" t="s">
        <v>230</v>
      </c>
      <c r="C398" s="160" t="s">
        <v>467</v>
      </c>
      <c r="D398" s="132">
        <v>1</v>
      </c>
      <c r="E398" s="702" t="s">
        <v>370</v>
      </c>
      <c r="F398" s="160" t="s">
        <v>470</v>
      </c>
      <c r="G398" s="303" t="s">
        <v>221</v>
      </c>
      <c r="H398" s="554" t="s">
        <v>375</v>
      </c>
      <c r="I398" s="582" t="str">
        <f>VLOOKUP(H398,'9a-Typen vloeren'!$A$10:$B$40,2,FALSE)</f>
        <v>n.v.t.</v>
      </c>
      <c r="J398" s="589">
        <v>58.47</v>
      </c>
      <c r="K398" s="433">
        <f t="shared" si="30"/>
        <v>0</v>
      </c>
      <c r="L398" s="433">
        <f t="shared" si="31"/>
        <v>0</v>
      </c>
      <c r="M398" s="433">
        <f t="shared" si="32"/>
        <v>0</v>
      </c>
      <c r="N398" s="672"/>
      <c r="O398" s="729">
        <f>IF(N398="",0,N398*K398/'9b-Vloeronderhoud'!$F$4)</f>
        <v>0</v>
      </c>
      <c r="P398" s="672"/>
      <c r="Q398" s="729" t="e">
        <f>IF(O398="",0,P398*L398/'9b-Vloeronderhoud'!$F$6)</f>
        <v>#DIV/0!</v>
      </c>
      <c r="R398" s="449">
        <v>1</v>
      </c>
      <c r="S398" s="688" t="s">
        <v>179</v>
      </c>
      <c r="T398" s="161">
        <f t="shared" si="33"/>
        <v>0</v>
      </c>
      <c r="U398" s="162">
        <f>IF(S398="nio",0,IF(S398&gt;0,VLOOKUP(G398,'3-Productie normen'!A:K,VLOOKUP(S398,'3-Productie normen'!L:N,3,FALSE),FALSE)))</f>
        <v>0</v>
      </c>
      <c r="V398" s="162">
        <f>VLOOKUP(G398,'3-Productie normen'!A:K,10,FALSE)</f>
        <v>16013.110036668773</v>
      </c>
      <c r="W398" s="163">
        <f>VLOOKUP(G398,'3-Productie normen'!A:K,11,FALSE)</f>
        <v>0</v>
      </c>
      <c r="X398" s="163"/>
      <c r="Z398" s="129">
        <f t="shared" si="34"/>
        <v>0</v>
      </c>
    </row>
    <row r="399" spans="1:26" ht="14.1" customHeight="1">
      <c r="A399" s="144">
        <v>405</v>
      </c>
      <c r="B399" s="160" t="s">
        <v>230</v>
      </c>
      <c r="C399" s="160" t="s">
        <v>467</v>
      </c>
      <c r="D399" s="132">
        <v>1</v>
      </c>
      <c r="E399" s="702" t="s">
        <v>371</v>
      </c>
      <c r="F399" s="160" t="s">
        <v>470</v>
      </c>
      <c r="G399" s="548" t="s">
        <v>221</v>
      </c>
      <c r="H399" s="554" t="s">
        <v>375</v>
      </c>
      <c r="I399" s="582" t="str">
        <f>VLOOKUP(H399,'9a-Typen vloeren'!$A$10:$B$40,2,FALSE)</f>
        <v>n.v.t.</v>
      </c>
      <c r="J399" s="589">
        <v>59.14</v>
      </c>
      <c r="K399" s="433">
        <f t="shared" si="30"/>
        <v>0</v>
      </c>
      <c r="L399" s="433">
        <f t="shared" si="31"/>
        <v>0</v>
      </c>
      <c r="M399" s="433">
        <f t="shared" si="32"/>
        <v>0</v>
      </c>
      <c r="N399" s="672"/>
      <c r="O399" s="729">
        <f>IF(N399="",0,N399*K399/'9b-Vloeronderhoud'!$F$4)</f>
        <v>0</v>
      </c>
      <c r="P399" s="672"/>
      <c r="Q399" s="729" t="e">
        <f>IF(O399="",0,P399*L399/'9b-Vloeronderhoud'!$F$6)</f>
        <v>#DIV/0!</v>
      </c>
      <c r="R399" s="449">
        <v>1</v>
      </c>
      <c r="S399" s="688" t="s">
        <v>179</v>
      </c>
      <c r="T399" s="161">
        <f t="shared" si="33"/>
        <v>0</v>
      </c>
      <c r="U399" s="162">
        <f>IF(S399="nio",0,IF(S399&gt;0,VLOOKUP(G399,'3-Productie normen'!A:K,VLOOKUP(S399,'3-Productie normen'!L:N,3,FALSE),FALSE)))</f>
        <v>0</v>
      </c>
      <c r="V399" s="162">
        <f>VLOOKUP(G399,'3-Productie normen'!A:K,10,FALSE)</f>
        <v>16013.110036668773</v>
      </c>
      <c r="W399" s="163">
        <f>VLOOKUP(G399,'3-Productie normen'!A:K,11,FALSE)</f>
        <v>0</v>
      </c>
      <c r="X399" s="163"/>
      <c r="Z399" s="129">
        <f t="shared" si="34"/>
        <v>0</v>
      </c>
    </row>
    <row r="400" spans="1:26" ht="14.1" customHeight="1">
      <c r="A400" s="144">
        <v>406</v>
      </c>
      <c r="B400" s="160" t="s">
        <v>230</v>
      </c>
      <c r="C400" s="160" t="s">
        <v>467</v>
      </c>
      <c r="D400" s="132">
        <v>1</v>
      </c>
      <c r="E400" s="702" t="s">
        <v>352</v>
      </c>
      <c r="F400" s="160" t="s">
        <v>452</v>
      </c>
      <c r="G400" s="460" t="s">
        <v>18</v>
      </c>
      <c r="H400" s="554" t="s">
        <v>375</v>
      </c>
      <c r="I400" s="582" t="str">
        <f>VLOOKUP(H400,'9a-Typen vloeren'!$A$10:$B$40,2,FALSE)</f>
        <v>n.v.t.</v>
      </c>
      <c r="J400" s="589">
        <v>6.23</v>
      </c>
      <c r="K400" s="433">
        <f t="shared" si="30"/>
        <v>0</v>
      </c>
      <c r="L400" s="433">
        <f t="shared" si="31"/>
        <v>0</v>
      </c>
      <c r="M400" s="433">
        <f t="shared" si="32"/>
        <v>0</v>
      </c>
      <c r="N400" s="672"/>
      <c r="O400" s="729">
        <f>IF(N400="",0,N400*K400/'9b-Vloeronderhoud'!$F$4)</f>
        <v>0</v>
      </c>
      <c r="P400" s="672"/>
      <c r="Q400" s="729" t="e">
        <f>IF(O400="",0,P400*L400/'9b-Vloeronderhoud'!$F$6)</f>
        <v>#DIV/0!</v>
      </c>
      <c r="R400" s="449">
        <v>1</v>
      </c>
      <c r="S400" s="672">
        <v>190</v>
      </c>
      <c r="T400" s="161" t="e">
        <f t="shared" si="33"/>
        <v>#DIV/0!</v>
      </c>
      <c r="U400" s="162">
        <f>IF(S400="nio",0,IF(S400&gt;0,VLOOKUP(G400,'3-Productie normen'!A:K,VLOOKUP(S400,'3-Productie normen'!L:N,3,FALSE),FALSE)))</f>
        <v>0</v>
      </c>
      <c r="V400" s="162">
        <f>VLOOKUP(G400,'3-Productie normen'!A:K,10,FALSE)</f>
        <v>1859.5880019121171</v>
      </c>
      <c r="W400" s="163">
        <f>VLOOKUP(G400,'3-Productie normen'!A:K,11,FALSE)</f>
        <v>0</v>
      </c>
      <c r="X400" s="163"/>
      <c r="Z400" s="129">
        <f t="shared" si="34"/>
        <v>1183.7</v>
      </c>
    </row>
    <row r="401" spans="1:26" ht="14.1" customHeight="1">
      <c r="A401" s="144">
        <v>407</v>
      </c>
      <c r="B401" s="160" t="s">
        <v>248</v>
      </c>
      <c r="C401" s="303" t="s">
        <v>739</v>
      </c>
      <c r="D401" s="304" t="s">
        <v>98</v>
      </c>
      <c r="E401" s="694" t="s">
        <v>294</v>
      </c>
      <c r="F401" s="303" t="s">
        <v>99</v>
      </c>
      <c r="G401" s="122" t="s">
        <v>99</v>
      </c>
      <c r="H401" s="303" t="s">
        <v>332</v>
      </c>
      <c r="I401" s="582" t="str">
        <f>VLOOKUP(H401,'9a-Typen vloeren'!$A$10:$B$40,2,FALSE)</f>
        <v>Sproei/extraheren</v>
      </c>
      <c r="J401" s="588">
        <v>4.8000001907348633</v>
      </c>
      <c r="K401" s="433">
        <f t="shared" si="30"/>
        <v>0</v>
      </c>
      <c r="L401" s="433">
        <f t="shared" si="31"/>
        <v>0</v>
      </c>
      <c r="M401" s="433">
        <f t="shared" si="32"/>
        <v>4.8000001907348633</v>
      </c>
      <c r="N401" s="672"/>
      <c r="O401" s="729">
        <f>IF(N401="",0,N401*K401/'9b-Vloeronderhoud'!$F$4)</f>
        <v>0</v>
      </c>
      <c r="P401" s="672"/>
      <c r="Q401" s="729" t="e">
        <f>IF(O401="",0,P401*L401/'9b-Vloeronderhoud'!$F$6)</f>
        <v>#DIV/0!</v>
      </c>
      <c r="R401" s="449">
        <v>1</v>
      </c>
      <c r="S401" s="672">
        <v>190</v>
      </c>
      <c r="T401" s="161" t="e">
        <f t="shared" si="33"/>
        <v>#DIV/0!</v>
      </c>
      <c r="U401" s="162">
        <f>IF(S401="nio",0,IF(S401&gt;0,VLOOKUP(G401,'3-Productie normen'!A:K,VLOOKUP(S401,'3-Productie normen'!L:N,3,FALSE),FALSE)))</f>
        <v>0</v>
      </c>
      <c r="V401" s="162">
        <f>VLOOKUP(G401,'3-Productie normen'!A:K,10,FALSE)</f>
        <v>726.97999910354622</v>
      </c>
      <c r="W401" s="163">
        <f>VLOOKUP(G401,'3-Productie normen'!A:K,11,FALSE)</f>
        <v>0</v>
      </c>
      <c r="X401" s="163"/>
      <c r="Z401" s="129">
        <f t="shared" si="34"/>
        <v>912.00003623962402</v>
      </c>
    </row>
    <row r="402" spans="1:26" ht="14.1" customHeight="1">
      <c r="A402" s="144">
        <v>408</v>
      </c>
      <c r="B402" s="160" t="s">
        <v>248</v>
      </c>
      <c r="C402" s="303" t="s">
        <v>739</v>
      </c>
      <c r="D402" s="304" t="s">
        <v>98</v>
      </c>
      <c r="E402" s="694" t="s">
        <v>295</v>
      </c>
      <c r="F402" s="303" t="s">
        <v>495</v>
      </c>
      <c r="G402" s="546" t="s">
        <v>279</v>
      </c>
      <c r="H402" s="534" t="s">
        <v>100</v>
      </c>
      <c r="I402" s="582" t="str">
        <f>VLOOKUP(H402,'9a-Typen vloeren'!$A$10:$B$40,2,FALSE)</f>
        <v>Sprayen/ conserveren</v>
      </c>
      <c r="J402" s="588">
        <v>70</v>
      </c>
      <c r="K402" s="433">
        <f t="shared" si="30"/>
        <v>70</v>
      </c>
      <c r="L402" s="433">
        <f t="shared" si="31"/>
        <v>0</v>
      </c>
      <c r="M402" s="433">
        <f t="shared" si="32"/>
        <v>0</v>
      </c>
      <c r="N402" s="672"/>
      <c r="O402" s="729">
        <f>IF(N402="",0,N402*K402/'9b-Vloeronderhoud'!$F$4)</f>
        <v>0</v>
      </c>
      <c r="P402" s="672"/>
      <c r="Q402" s="729" t="e">
        <f>IF(O402="",0,P402*L402/'9b-Vloeronderhoud'!$F$6)</f>
        <v>#DIV/0!</v>
      </c>
      <c r="R402" s="449">
        <v>1</v>
      </c>
      <c r="S402" s="672">
        <v>190</v>
      </c>
      <c r="T402" s="161" t="e">
        <f t="shared" si="33"/>
        <v>#DIV/0!</v>
      </c>
      <c r="U402" s="162">
        <f>IF(S402="nio",0,IF(S402&gt;0,VLOOKUP(G402,'3-Productie normen'!A:K,VLOOKUP(S402,'3-Productie normen'!L:N,3,FALSE),FALSE)))</f>
        <v>0</v>
      </c>
      <c r="V402" s="162">
        <f>VLOOKUP(G402,'3-Productie normen'!A:K,10,FALSE)</f>
        <v>648.99999618530273</v>
      </c>
      <c r="W402" s="163">
        <f>VLOOKUP(G402,'3-Productie normen'!A:K,11,FALSE)</f>
        <v>0</v>
      </c>
      <c r="X402" s="163"/>
      <c r="Z402" s="129">
        <f t="shared" si="34"/>
        <v>13300</v>
      </c>
    </row>
    <row r="403" spans="1:26" ht="14.1" customHeight="1">
      <c r="A403" s="144">
        <v>409</v>
      </c>
      <c r="B403" s="160" t="s">
        <v>248</v>
      </c>
      <c r="C403" s="303" t="s">
        <v>739</v>
      </c>
      <c r="D403" s="304" t="s">
        <v>98</v>
      </c>
      <c r="E403" s="694" t="s">
        <v>715</v>
      </c>
      <c r="F403" s="303" t="s">
        <v>302</v>
      </c>
      <c r="G403" s="533" t="s">
        <v>18</v>
      </c>
      <c r="H403" s="534" t="s">
        <v>954</v>
      </c>
      <c r="I403" s="582" t="str">
        <f>VLOOKUP(H403,'9a-Typen vloeren'!$A$10:$B$40,2,FALSE)</f>
        <v>zie kwaliteitsontwerp</v>
      </c>
      <c r="J403" s="588">
        <v>6.75</v>
      </c>
      <c r="K403" s="433">
        <f t="shared" si="30"/>
        <v>0</v>
      </c>
      <c r="L403" s="433">
        <f t="shared" si="31"/>
        <v>0</v>
      </c>
      <c r="M403" s="433">
        <f t="shared" si="32"/>
        <v>0</v>
      </c>
      <c r="N403" s="672"/>
      <c r="O403" s="729">
        <f>IF(N403="",0,N403*K403/'9b-Vloeronderhoud'!$F$4)</f>
        <v>0</v>
      </c>
      <c r="P403" s="672"/>
      <c r="Q403" s="729" t="e">
        <f>IF(O403="",0,P403*L403/'9b-Vloeronderhoud'!$F$6)</f>
        <v>#DIV/0!</v>
      </c>
      <c r="R403" s="449">
        <v>1</v>
      </c>
      <c r="S403" s="672">
        <v>190</v>
      </c>
      <c r="T403" s="161" t="e">
        <f t="shared" si="33"/>
        <v>#DIV/0!</v>
      </c>
      <c r="U403" s="162">
        <f>IF(S403="nio",0,IF(S403&gt;0,VLOOKUP(G403,'3-Productie normen'!A:K,VLOOKUP(S403,'3-Productie normen'!L:N,3,FALSE),FALSE)))</f>
        <v>0</v>
      </c>
      <c r="V403" s="162">
        <f>VLOOKUP(G403,'3-Productie normen'!A:K,10,FALSE)</f>
        <v>1859.5880019121171</v>
      </c>
      <c r="W403" s="163">
        <f>VLOOKUP(G403,'3-Productie normen'!A:K,11,FALSE)</f>
        <v>0</v>
      </c>
      <c r="X403" s="163"/>
      <c r="Z403" s="129">
        <f t="shared" si="34"/>
        <v>1282.5</v>
      </c>
    </row>
    <row r="404" spans="1:26" ht="14.1" customHeight="1">
      <c r="A404" s="144">
        <v>410</v>
      </c>
      <c r="B404" s="160" t="s">
        <v>248</v>
      </c>
      <c r="C404" s="303" t="s">
        <v>739</v>
      </c>
      <c r="D404" s="304" t="s">
        <v>98</v>
      </c>
      <c r="E404" s="694" t="s">
        <v>716</v>
      </c>
      <c r="F404" s="303" t="s">
        <v>382</v>
      </c>
      <c r="G404" s="460" t="s">
        <v>881</v>
      </c>
      <c r="H404" s="534" t="s">
        <v>101</v>
      </c>
      <c r="I404" s="582" t="str">
        <f>VLOOKUP(H404,'9a-Typen vloeren'!$A$10:$B$40,2,FALSE)</f>
        <v>Schrobben</v>
      </c>
      <c r="J404" s="588">
        <v>11.180000305175781</v>
      </c>
      <c r="K404" s="433">
        <f t="shared" si="30"/>
        <v>0</v>
      </c>
      <c r="L404" s="433">
        <f t="shared" si="31"/>
        <v>0</v>
      </c>
      <c r="M404" s="433">
        <f t="shared" si="32"/>
        <v>0</v>
      </c>
      <c r="N404" s="672"/>
      <c r="O404" s="729">
        <f>IF(N404="",0,N404*K404/'9b-Vloeronderhoud'!$F$4)</f>
        <v>0</v>
      </c>
      <c r="P404" s="672"/>
      <c r="Q404" s="729" t="e">
        <f>IF(O404="",0,P404*L404/'9b-Vloeronderhoud'!$F$6)</f>
        <v>#DIV/0!</v>
      </c>
      <c r="R404" s="449">
        <v>1</v>
      </c>
      <c r="S404" s="672" t="s">
        <v>179</v>
      </c>
      <c r="T404" s="161">
        <f t="shared" si="33"/>
        <v>0</v>
      </c>
      <c r="U404" s="162">
        <f>IF(S404="nio",0,IF(S404&gt;0,VLOOKUP(G404,'3-Productie normen'!A:K,VLOOKUP(S404,'3-Productie normen'!L:N,3,FALSE),FALSE)))</f>
        <v>0</v>
      </c>
      <c r="V404" s="162">
        <f>VLOOKUP(G404,'3-Productie normen'!A:K,10,FALSE)</f>
        <v>5262.809993648526</v>
      </c>
      <c r="W404" s="163">
        <f>VLOOKUP(G404,'3-Productie normen'!A:K,11,FALSE)</f>
        <v>0</v>
      </c>
      <c r="X404" s="163"/>
      <c r="Z404" s="129">
        <f t="shared" si="34"/>
        <v>0</v>
      </c>
    </row>
    <row r="405" spans="1:26" ht="14.1" customHeight="1">
      <c r="A405" s="144">
        <v>411</v>
      </c>
      <c r="B405" s="160" t="s">
        <v>248</v>
      </c>
      <c r="C405" s="303" t="s">
        <v>739</v>
      </c>
      <c r="D405" s="304" t="s">
        <v>98</v>
      </c>
      <c r="E405" s="694" t="s">
        <v>301</v>
      </c>
      <c r="F405" s="303" t="s">
        <v>282</v>
      </c>
      <c r="G405" s="460" t="s">
        <v>881</v>
      </c>
      <c r="H405" s="534" t="s">
        <v>100</v>
      </c>
      <c r="I405" s="582" t="str">
        <f>VLOOKUP(H405,'9a-Typen vloeren'!$A$10:$B$40,2,FALSE)</f>
        <v>Sprayen/ conserveren</v>
      </c>
      <c r="J405" s="588">
        <v>7.1999998092651367</v>
      </c>
      <c r="K405" s="433">
        <f t="shared" si="30"/>
        <v>0</v>
      </c>
      <c r="L405" s="433">
        <f t="shared" si="31"/>
        <v>0</v>
      </c>
      <c r="M405" s="433">
        <f t="shared" si="32"/>
        <v>0</v>
      </c>
      <c r="N405" s="672"/>
      <c r="O405" s="729">
        <f>IF(N405="",0,N405*K405/'9b-Vloeronderhoud'!$F$4)</f>
        <v>0</v>
      </c>
      <c r="P405" s="672"/>
      <c r="Q405" s="729" t="e">
        <f>IF(O405="",0,P405*L405/'9b-Vloeronderhoud'!$F$6)</f>
        <v>#DIV/0!</v>
      </c>
      <c r="R405" s="449">
        <v>1</v>
      </c>
      <c r="S405" s="672" t="s">
        <v>179</v>
      </c>
      <c r="T405" s="161">
        <f t="shared" si="33"/>
        <v>0</v>
      </c>
      <c r="U405" s="162">
        <f>IF(S405="nio",0,IF(S405&gt;0,VLOOKUP(G405,'3-Productie normen'!A:K,VLOOKUP(S405,'3-Productie normen'!L:N,3,FALSE),FALSE)))</f>
        <v>0</v>
      </c>
      <c r="V405" s="162">
        <f>VLOOKUP(G405,'3-Productie normen'!A:K,10,FALSE)</f>
        <v>5262.809993648526</v>
      </c>
      <c r="W405" s="163">
        <f>VLOOKUP(G405,'3-Productie normen'!A:K,11,FALSE)</f>
        <v>0</v>
      </c>
      <c r="X405" s="163"/>
      <c r="Z405" s="129">
        <f t="shared" si="34"/>
        <v>0</v>
      </c>
    </row>
    <row r="406" spans="1:26" ht="14.1" customHeight="1">
      <c r="A406" s="144">
        <v>412</v>
      </c>
      <c r="B406" s="160" t="s">
        <v>248</v>
      </c>
      <c r="C406" s="303" t="s">
        <v>739</v>
      </c>
      <c r="D406" s="304" t="s">
        <v>98</v>
      </c>
      <c r="E406" s="694" t="s">
        <v>303</v>
      </c>
      <c r="F406" s="303" t="s">
        <v>282</v>
      </c>
      <c r="G406" s="460" t="s">
        <v>881</v>
      </c>
      <c r="H406" s="534" t="s">
        <v>100</v>
      </c>
      <c r="I406" s="582" t="str">
        <f>VLOOKUP(H406,'9a-Typen vloeren'!$A$10:$B$40,2,FALSE)</f>
        <v>Sprayen/ conserveren</v>
      </c>
      <c r="J406" s="588">
        <v>7.1999998092651367</v>
      </c>
      <c r="K406" s="433">
        <f t="shared" si="30"/>
        <v>0</v>
      </c>
      <c r="L406" s="433">
        <f t="shared" si="31"/>
        <v>0</v>
      </c>
      <c r="M406" s="433">
        <f t="shared" si="32"/>
        <v>0</v>
      </c>
      <c r="N406" s="672"/>
      <c r="O406" s="729">
        <f>IF(N406="",0,N406*K406/'9b-Vloeronderhoud'!$F$4)</f>
        <v>0</v>
      </c>
      <c r="P406" s="672"/>
      <c r="Q406" s="729" t="e">
        <f>IF(O406="",0,P406*L406/'9b-Vloeronderhoud'!$F$6)</f>
        <v>#DIV/0!</v>
      </c>
      <c r="R406" s="449">
        <v>1</v>
      </c>
      <c r="S406" s="672" t="s">
        <v>179</v>
      </c>
      <c r="T406" s="161">
        <f t="shared" si="33"/>
        <v>0</v>
      </c>
      <c r="U406" s="162">
        <f>IF(S406="nio",0,IF(S406&gt;0,VLOOKUP(G406,'3-Productie normen'!A:K,VLOOKUP(S406,'3-Productie normen'!L:N,3,FALSE),FALSE)))</f>
        <v>0</v>
      </c>
      <c r="V406" s="162">
        <f>VLOOKUP(G406,'3-Productie normen'!A:K,10,FALSE)</f>
        <v>5262.809993648526</v>
      </c>
      <c r="W406" s="163">
        <f>VLOOKUP(G406,'3-Productie normen'!A:K,11,FALSE)</f>
        <v>0</v>
      </c>
      <c r="X406" s="163"/>
      <c r="Z406" s="129">
        <f t="shared" si="34"/>
        <v>0</v>
      </c>
    </row>
    <row r="407" spans="1:26" ht="14.1" customHeight="1">
      <c r="A407" s="144">
        <v>413</v>
      </c>
      <c r="B407" s="160" t="s">
        <v>248</v>
      </c>
      <c r="C407" s="303" t="s">
        <v>739</v>
      </c>
      <c r="D407" s="304" t="s">
        <v>98</v>
      </c>
      <c r="E407" s="694" t="s">
        <v>305</v>
      </c>
      <c r="F407" s="303" t="s">
        <v>285</v>
      </c>
      <c r="G407" s="171" t="s">
        <v>285</v>
      </c>
      <c r="H407" s="303" t="s">
        <v>332</v>
      </c>
      <c r="I407" s="582" t="str">
        <f>VLOOKUP(H407,'9a-Typen vloeren'!$A$10:$B$40,2,FALSE)</f>
        <v>Sproei/extraheren</v>
      </c>
      <c r="J407" s="588">
        <v>70</v>
      </c>
      <c r="K407" s="433">
        <f t="shared" si="30"/>
        <v>0</v>
      </c>
      <c r="L407" s="433">
        <f t="shared" si="31"/>
        <v>0</v>
      </c>
      <c r="M407" s="433">
        <f t="shared" si="32"/>
        <v>70</v>
      </c>
      <c r="N407" s="672"/>
      <c r="O407" s="729">
        <f>IF(N407="",0,N407*K407/'9b-Vloeronderhoud'!$F$4)</f>
        <v>0</v>
      </c>
      <c r="P407" s="672"/>
      <c r="Q407" s="729" t="e">
        <f>IF(O407="",0,P407*L407/'9b-Vloeronderhoud'!$F$6)</f>
        <v>#DIV/0!</v>
      </c>
      <c r="R407" s="449">
        <v>1</v>
      </c>
      <c r="S407" s="672">
        <v>190</v>
      </c>
      <c r="T407" s="161" t="e">
        <f t="shared" si="33"/>
        <v>#DIV/0!</v>
      </c>
      <c r="U407" s="162">
        <f>IF(S407="nio",0,IF(S407&gt;0,VLOOKUP(G407,'3-Productie normen'!A:K,VLOOKUP(S407,'3-Productie normen'!L:N,3,FALSE),FALSE)))</f>
        <v>0</v>
      </c>
      <c r="V407" s="162">
        <f>VLOOKUP(G407,'3-Productie normen'!A:K,10,FALSE)</f>
        <v>3305.8200070953367</v>
      </c>
      <c r="W407" s="163">
        <f>VLOOKUP(G407,'3-Productie normen'!A:K,11,FALSE)</f>
        <v>0</v>
      </c>
      <c r="X407" s="163"/>
      <c r="Z407" s="129">
        <f t="shared" si="34"/>
        <v>13300</v>
      </c>
    </row>
    <row r="408" spans="1:26" ht="14.1" customHeight="1">
      <c r="A408" s="144">
        <v>414</v>
      </c>
      <c r="B408" s="160" t="s">
        <v>248</v>
      </c>
      <c r="C408" s="303" t="s">
        <v>739</v>
      </c>
      <c r="D408" s="304" t="s">
        <v>98</v>
      </c>
      <c r="E408" s="694" t="s">
        <v>305</v>
      </c>
      <c r="F408" s="303" t="s">
        <v>285</v>
      </c>
      <c r="G408" s="303" t="s">
        <v>285</v>
      </c>
      <c r="H408" s="534" t="s">
        <v>100</v>
      </c>
      <c r="I408" s="582" t="str">
        <f>VLOOKUP(H408,'9a-Typen vloeren'!$A$10:$B$40,2,FALSE)</f>
        <v>Sprayen/ conserveren</v>
      </c>
      <c r="J408" s="588">
        <v>13.199999809265137</v>
      </c>
      <c r="K408" s="433">
        <f t="shared" si="30"/>
        <v>13.199999809265137</v>
      </c>
      <c r="L408" s="433">
        <f t="shared" si="31"/>
        <v>0</v>
      </c>
      <c r="M408" s="433">
        <f t="shared" si="32"/>
        <v>0</v>
      </c>
      <c r="N408" s="672"/>
      <c r="O408" s="729">
        <f>IF(N408="",0,N408*K408/'9b-Vloeronderhoud'!$F$4)</f>
        <v>0</v>
      </c>
      <c r="P408" s="672"/>
      <c r="Q408" s="729" t="e">
        <f>IF(O408="",0,P408*L408/'9b-Vloeronderhoud'!$F$6)</f>
        <v>#DIV/0!</v>
      </c>
      <c r="R408" s="449">
        <v>1</v>
      </c>
      <c r="S408" s="672">
        <v>190</v>
      </c>
      <c r="T408" s="161" t="e">
        <f t="shared" si="33"/>
        <v>#DIV/0!</v>
      </c>
      <c r="U408" s="162">
        <f>IF(S408="nio",0,IF(S408&gt;0,VLOOKUP(G408,'3-Productie normen'!A:K,VLOOKUP(S408,'3-Productie normen'!L:N,3,FALSE),FALSE)))</f>
        <v>0</v>
      </c>
      <c r="V408" s="162">
        <f>VLOOKUP(G408,'3-Productie normen'!A:K,10,FALSE)</f>
        <v>3305.8200070953367</v>
      </c>
      <c r="W408" s="163">
        <f>VLOOKUP(G408,'3-Productie normen'!A:K,11,FALSE)</f>
        <v>0</v>
      </c>
      <c r="X408" s="163"/>
      <c r="Z408" s="129">
        <f t="shared" si="34"/>
        <v>2507.999963760376</v>
      </c>
    </row>
    <row r="409" spans="1:26" ht="14.1" customHeight="1">
      <c r="A409" s="144">
        <v>415</v>
      </c>
      <c r="B409" s="160" t="s">
        <v>248</v>
      </c>
      <c r="C409" s="303" t="s">
        <v>739</v>
      </c>
      <c r="D409" s="304" t="s">
        <v>98</v>
      </c>
      <c r="E409" s="694" t="s">
        <v>306</v>
      </c>
      <c r="F409" s="303" t="s">
        <v>304</v>
      </c>
      <c r="G409" s="122" t="s">
        <v>18</v>
      </c>
      <c r="H409" s="534" t="s">
        <v>954</v>
      </c>
      <c r="I409" s="582" t="str">
        <f>VLOOKUP(H409,'9a-Typen vloeren'!$A$10:$B$40,2,FALSE)</f>
        <v>zie kwaliteitsontwerp</v>
      </c>
      <c r="J409" s="588">
        <v>6.4800000190734863</v>
      </c>
      <c r="K409" s="433">
        <f t="shared" si="30"/>
        <v>0</v>
      </c>
      <c r="L409" s="433">
        <f t="shared" si="31"/>
        <v>0</v>
      </c>
      <c r="M409" s="433">
        <f t="shared" si="32"/>
        <v>0</v>
      </c>
      <c r="N409" s="672"/>
      <c r="O409" s="729">
        <f>IF(N409="",0,N409*K409/'9b-Vloeronderhoud'!$F$4)</f>
        <v>0</v>
      </c>
      <c r="P409" s="672"/>
      <c r="Q409" s="729" t="e">
        <f>IF(O409="",0,P409*L409/'9b-Vloeronderhoud'!$F$6)</f>
        <v>#DIV/0!</v>
      </c>
      <c r="R409" s="449">
        <v>1</v>
      </c>
      <c r="S409" s="672">
        <v>190</v>
      </c>
      <c r="T409" s="161" t="e">
        <f t="shared" si="33"/>
        <v>#DIV/0!</v>
      </c>
      <c r="U409" s="162">
        <f>IF(S409="nio",0,IF(S409&gt;0,VLOOKUP(G409,'3-Productie normen'!A:K,VLOOKUP(S409,'3-Productie normen'!L:N,3,FALSE),FALSE)))</f>
        <v>0</v>
      </c>
      <c r="V409" s="162">
        <f>VLOOKUP(G409,'3-Productie normen'!A:K,10,FALSE)</f>
        <v>1859.5880019121171</v>
      </c>
      <c r="W409" s="163">
        <f>VLOOKUP(G409,'3-Productie normen'!A:K,11,FALSE)</f>
        <v>0</v>
      </c>
      <c r="X409" s="163"/>
      <c r="Z409" s="129">
        <f t="shared" si="34"/>
        <v>1231.2000036239624</v>
      </c>
    </row>
    <row r="410" spans="1:26" ht="14.1" customHeight="1">
      <c r="A410" s="144">
        <v>416</v>
      </c>
      <c r="B410" s="160" t="s">
        <v>248</v>
      </c>
      <c r="C410" s="303" t="s">
        <v>739</v>
      </c>
      <c r="D410" s="304" t="s">
        <v>98</v>
      </c>
      <c r="E410" s="694" t="s">
        <v>307</v>
      </c>
      <c r="F410" s="303" t="s">
        <v>871</v>
      </c>
      <c r="G410" s="122" t="s">
        <v>421</v>
      </c>
      <c r="H410" s="303" t="s">
        <v>332</v>
      </c>
      <c r="I410" s="582" t="str">
        <f>VLOOKUP(H410,'9a-Typen vloeren'!$A$10:$B$40,2,FALSE)</f>
        <v>Sproei/extraheren</v>
      </c>
      <c r="J410" s="588">
        <v>51</v>
      </c>
      <c r="K410" s="433">
        <f t="shared" si="30"/>
        <v>0</v>
      </c>
      <c r="L410" s="433">
        <f t="shared" si="31"/>
        <v>0</v>
      </c>
      <c r="M410" s="433">
        <f t="shared" si="32"/>
        <v>51</v>
      </c>
      <c r="N410" s="672"/>
      <c r="O410" s="729">
        <f>IF(N410="",0,N410*K410/'9b-Vloeronderhoud'!$F$4)</f>
        <v>0</v>
      </c>
      <c r="P410" s="672"/>
      <c r="Q410" s="729" t="e">
        <f>IF(O410="",0,P410*L410/'9b-Vloeronderhoud'!$F$6)</f>
        <v>#DIV/0!</v>
      </c>
      <c r="R410" s="449">
        <v>1</v>
      </c>
      <c r="S410" s="672">
        <v>40</v>
      </c>
      <c r="T410" s="161" t="e">
        <f t="shared" si="33"/>
        <v>#DIV/0!</v>
      </c>
      <c r="U410" s="162">
        <f>IF(S410="nio",0,IF(S410&gt;0,VLOOKUP(G410,'3-Productie normen'!A:K,VLOOKUP(S410,'3-Productie normen'!L:N,3,FALSE),FALSE)))</f>
        <v>0</v>
      </c>
      <c r="V410" s="162">
        <f>VLOOKUP(G410,'3-Productie normen'!A:K,10,FALSE)</f>
        <v>865.11000061035156</v>
      </c>
      <c r="W410" s="163">
        <f>VLOOKUP(G410,'3-Productie normen'!A:K,11,FALSE)</f>
        <v>0</v>
      </c>
      <c r="X410" s="163"/>
      <c r="Z410" s="129">
        <f t="shared" si="34"/>
        <v>2040</v>
      </c>
    </row>
    <row r="411" spans="1:26" ht="14.1" customHeight="1">
      <c r="A411" s="144">
        <v>417</v>
      </c>
      <c r="B411" s="160" t="s">
        <v>248</v>
      </c>
      <c r="C411" s="303" t="s">
        <v>739</v>
      </c>
      <c r="D411" s="304" t="s">
        <v>98</v>
      </c>
      <c r="E411" s="694" t="s">
        <v>309</v>
      </c>
      <c r="F411" s="303" t="s">
        <v>288</v>
      </c>
      <c r="G411" s="460" t="s">
        <v>862</v>
      </c>
      <c r="H411" s="534" t="s">
        <v>100</v>
      </c>
      <c r="I411" s="582" t="str">
        <f>VLOOKUP(H411,'9a-Typen vloeren'!$A$10:$B$40,2,FALSE)</f>
        <v>Sprayen/ conserveren</v>
      </c>
      <c r="J411" s="588">
        <v>41.229999542236328</v>
      </c>
      <c r="K411" s="433">
        <f t="shared" si="30"/>
        <v>41.229999542236328</v>
      </c>
      <c r="L411" s="433">
        <f t="shared" si="31"/>
        <v>0</v>
      </c>
      <c r="M411" s="433">
        <f t="shared" si="32"/>
        <v>0</v>
      </c>
      <c r="N411" s="672">
        <v>2</v>
      </c>
      <c r="O411" s="729" t="e">
        <f>IF(N411="",0,N411*K411/'9b-Vloeronderhoud'!$F$4)</f>
        <v>#DIV/0!</v>
      </c>
      <c r="P411" s="672"/>
      <c r="Q411" s="729" t="e">
        <f>IF(O411="",0,P411*L411/'9b-Vloeronderhoud'!$F$6)</f>
        <v>#DIV/0!</v>
      </c>
      <c r="R411" s="449">
        <v>1</v>
      </c>
      <c r="S411" s="672">
        <v>120</v>
      </c>
      <c r="T411" s="161" t="e">
        <f t="shared" si="33"/>
        <v>#DIV/0!</v>
      </c>
      <c r="U411" s="162">
        <f>IF(S411="nio",0,IF(S411&gt;0,VLOOKUP(G411,'3-Productie normen'!A:K,VLOOKUP(S411,'3-Productie normen'!L:N,3,FALSE),FALSE)))</f>
        <v>0</v>
      </c>
      <c r="V411" s="162">
        <f>VLOOKUP(G411,'3-Productie normen'!A:K,10,FALSE)</f>
        <v>4374.9900215911857</v>
      </c>
      <c r="W411" s="163">
        <f>VLOOKUP(G411,'3-Productie normen'!A:K,11,FALSE)</f>
        <v>0</v>
      </c>
      <c r="X411" s="163"/>
      <c r="Z411" s="129">
        <f t="shared" si="34"/>
        <v>4947.5999450683594</v>
      </c>
    </row>
    <row r="412" spans="1:26" ht="14.1" customHeight="1">
      <c r="A412" s="144">
        <v>418</v>
      </c>
      <c r="B412" s="160" t="s">
        <v>248</v>
      </c>
      <c r="C412" s="303" t="s">
        <v>739</v>
      </c>
      <c r="D412" s="304" t="s">
        <v>98</v>
      </c>
      <c r="E412" s="694" t="s">
        <v>309</v>
      </c>
      <c r="F412" s="303" t="s">
        <v>288</v>
      </c>
      <c r="G412" s="4" t="s">
        <v>862</v>
      </c>
      <c r="H412" s="303" t="s">
        <v>332</v>
      </c>
      <c r="I412" s="582" t="str">
        <f>VLOOKUP(H412,'9a-Typen vloeren'!$A$10:$B$40,2,FALSE)</f>
        <v>Sproei/extraheren</v>
      </c>
      <c r="J412" s="588">
        <v>41.229999542236328</v>
      </c>
      <c r="K412" s="433">
        <f t="shared" si="30"/>
        <v>0</v>
      </c>
      <c r="L412" s="433">
        <f t="shared" si="31"/>
        <v>0</v>
      </c>
      <c r="M412" s="433">
        <f t="shared" si="32"/>
        <v>41.229999542236328</v>
      </c>
      <c r="N412" s="672"/>
      <c r="O412" s="729">
        <f>IF(N412="",0,N412*K412/'9b-Vloeronderhoud'!$F$4)</f>
        <v>0</v>
      </c>
      <c r="P412" s="672"/>
      <c r="Q412" s="729" t="e">
        <f>IF(O412="",0,P412*L412/'9b-Vloeronderhoud'!$F$6)</f>
        <v>#DIV/0!</v>
      </c>
      <c r="R412" s="449">
        <v>1</v>
      </c>
      <c r="S412" s="672">
        <v>120</v>
      </c>
      <c r="T412" s="161" t="e">
        <f t="shared" si="33"/>
        <v>#DIV/0!</v>
      </c>
      <c r="U412" s="162">
        <f>IF(S412="nio",0,IF(S412&gt;0,VLOOKUP(G412,'3-Productie normen'!A:K,VLOOKUP(S412,'3-Productie normen'!L:N,3,FALSE),FALSE)))</f>
        <v>0</v>
      </c>
      <c r="V412" s="162">
        <f>VLOOKUP(G412,'3-Productie normen'!A:K,10,FALSE)</f>
        <v>4374.9900215911857</v>
      </c>
      <c r="W412" s="163">
        <f>VLOOKUP(G412,'3-Productie normen'!A:K,11,FALSE)</f>
        <v>0</v>
      </c>
      <c r="X412" s="163"/>
      <c r="Z412" s="129">
        <f t="shared" si="34"/>
        <v>4947.5999450683594</v>
      </c>
    </row>
    <row r="413" spans="1:26" ht="14.1" customHeight="1">
      <c r="A413" s="144">
        <v>419</v>
      </c>
      <c r="B413" s="160" t="s">
        <v>248</v>
      </c>
      <c r="C413" s="303" t="s">
        <v>739</v>
      </c>
      <c r="D413" s="304" t="s">
        <v>98</v>
      </c>
      <c r="E413" s="694" t="s">
        <v>311</v>
      </c>
      <c r="F413" s="303" t="s">
        <v>283</v>
      </c>
      <c r="G413" s="122" t="s">
        <v>286</v>
      </c>
      <c r="H413" s="534" t="s">
        <v>100</v>
      </c>
      <c r="I413" s="582" t="str">
        <f>VLOOKUP(H413,'9a-Typen vloeren'!$A$10:$B$40,2,FALSE)</f>
        <v>Sprayen/ conserveren</v>
      </c>
      <c r="J413" s="588">
        <v>71.779998779296875</v>
      </c>
      <c r="K413" s="433">
        <f t="shared" si="30"/>
        <v>71.779998779296875</v>
      </c>
      <c r="L413" s="433">
        <f t="shared" si="31"/>
        <v>0</v>
      </c>
      <c r="M413" s="433">
        <f t="shared" si="32"/>
        <v>0</v>
      </c>
      <c r="N413" s="672">
        <v>2</v>
      </c>
      <c r="O413" s="729" t="e">
        <f>IF(N413="",0,N413*K413/'9b-Vloeronderhoud'!$F$4)</f>
        <v>#DIV/0!</v>
      </c>
      <c r="P413" s="672"/>
      <c r="Q413" s="729" t="e">
        <f>IF(O413="",0,P413*L413/'9b-Vloeronderhoud'!$F$6)</f>
        <v>#DIV/0!</v>
      </c>
      <c r="R413" s="449">
        <v>1</v>
      </c>
      <c r="S413" s="672">
        <v>120</v>
      </c>
      <c r="T413" s="161" t="e">
        <f t="shared" si="33"/>
        <v>#DIV/0!</v>
      </c>
      <c r="U413" s="162">
        <f>IF(S413="nio",0,IF(S413&gt;0,VLOOKUP(G413,'3-Productie normen'!A:K,VLOOKUP(S413,'3-Productie normen'!L:N,3,FALSE),FALSE)))</f>
        <v>0</v>
      </c>
      <c r="V413" s="162">
        <f>VLOOKUP(G413,'3-Productie normen'!A:K,10,FALSE)</f>
        <v>6152.9500017547598</v>
      </c>
      <c r="W413" s="163">
        <f>VLOOKUP(G413,'3-Productie normen'!A:K,11,FALSE)</f>
        <v>0</v>
      </c>
      <c r="X413" s="163"/>
      <c r="Z413" s="129">
        <f t="shared" si="34"/>
        <v>8613.599853515625</v>
      </c>
    </row>
    <row r="414" spans="1:26" ht="14.1" customHeight="1">
      <c r="A414" s="144">
        <v>420</v>
      </c>
      <c r="B414" s="160" t="s">
        <v>248</v>
      </c>
      <c r="C414" s="303" t="s">
        <v>739</v>
      </c>
      <c r="D414" s="304" t="s">
        <v>98</v>
      </c>
      <c r="E414" s="694" t="s">
        <v>312</v>
      </c>
      <c r="F414" s="303" t="s">
        <v>350</v>
      </c>
      <c r="G414" s="122" t="s">
        <v>299</v>
      </c>
      <c r="H414" s="303" t="s">
        <v>332</v>
      </c>
      <c r="I414" s="582" t="str">
        <f>VLOOKUP(H414,'9a-Typen vloeren'!$A$10:$B$40,2,FALSE)</f>
        <v>Sproei/extraheren</v>
      </c>
      <c r="J414" s="588">
        <v>26.219999313354492</v>
      </c>
      <c r="K414" s="433">
        <f t="shared" si="30"/>
        <v>0</v>
      </c>
      <c r="L414" s="433">
        <f t="shared" si="31"/>
        <v>0</v>
      </c>
      <c r="M414" s="433">
        <f t="shared" si="32"/>
        <v>26.219999313354492</v>
      </c>
      <c r="N414" s="672"/>
      <c r="O414" s="729">
        <f>IF(N414="",0,N414*K414/'9b-Vloeronderhoud'!$F$4)</f>
        <v>0</v>
      </c>
      <c r="P414" s="672"/>
      <c r="Q414" s="729" t="e">
        <f>IF(O414="",0,P414*L414/'9b-Vloeronderhoud'!$F$6)</f>
        <v>#DIV/0!</v>
      </c>
      <c r="R414" s="449">
        <v>1</v>
      </c>
      <c r="S414" s="672">
        <v>40</v>
      </c>
      <c r="T414" s="161" t="e">
        <f t="shared" si="33"/>
        <v>#DIV/0!</v>
      </c>
      <c r="U414" s="162">
        <f>IF(S414="nio",0,IF(S414&gt;0,VLOOKUP(G414,'3-Productie normen'!A:K,VLOOKUP(S414,'3-Productie normen'!L:N,3,FALSE),FALSE)))</f>
        <v>0</v>
      </c>
      <c r="V414" s="162">
        <f>VLOOKUP(G414,'3-Productie normen'!A:K,10,FALSE)</f>
        <v>1107.9100014114381</v>
      </c>
      <c r="W414" s="163">
        <f>VLOOKUP(G414,'3-Productie normen'!A:K,11,FALSE)</f>
        <v>0</v>
      </c>
      <c r="X414" s="163"/>
      <c r="Z414" s="129">
        <f t="shared" si="34"/>
        <v>1048.7999725341797</v>
      </c>
    </row>
    <row r="415" spans="1:26" ht="14.1" customHeight="1">
      <c r="A415" s="144">
        <v>421</v>
      </c>
      <c r="B415" s="160" t="s">
        <v>248</v>
      </c>
      <c r="C415" s="303" t="s">
        <v>739</v>
      </c>
      <c r="D415" s="304" t="s">
        <v>98</v>
      </c>
      <c r="E415" s="694" t="s">
        <v>717</v>
      </c>
      <c r="F415" s="303" t="s">
        <v>302</v>
      </c>
      <c r="G415" s="546" t="s">
        <v>18</v>
      </c>
      <c r="H415" s="534" t="s">
        <v>954</v>
      </c>
      <c r="I415" s="582" t="str">
        <f>VLOOKUP(H415,'9a-Typen vloeren'!$A$10:$B$40,2,FALSE)</f>
        <v>zie kwaliteitsontwerp</v>
      </c>
      <c r="J415" s="588">
        <v>4.1999998092651367</v>
      </c>
      <c r="K415" s="433">
        <f t="shared" si="30"/>
        <v>0</v>
      </c>
      <c r="L415" s="433">
        <f t="shared" si="31"/>
        <v>0</v>
      </c>
      <c r="M415" s="433">
        <f t="shared" si="32"/>
        <v>0</v>
      </c>
      <c r="N415" s="672"/>
      <c r="O415" s="729">
        <f>IF(N415="",0,N415*K415/'9b-Vloeronderhoud'!$F$4)</f>
        <v>0</v>
      </c>
      <c r="P415" s="672"/>
      <c r="Q415" s="729" t="e">
        <f>IF(O415="",0,P415*L415/'9b-Vloeronderhoud'!$F$6)</f>
        <v>#DIV/0!</v>
      </c>
      <c r="R415" s="449">
        <v>1</v>
      </c>
      <c r="S415" s="672">
        <v>190</v>
      </c>
      <c r="T415" s="161" t="e">
        <f t="shared" si="33"/>
        <v>#DIV/0!</v>
      </c>
      <c r="U415" s="162">
        <f>IF(S415="nio",0,IF(S415&gt;0,VLOOKUP(G415,'3-Productie normen'!A:K,VLOOKUP(S415,'3-Productie normen'!L:N,3,FALSE),FALSE)))</f>
        <v>0</v>
      </c>
      <c r="V415" s="162">
        <f>VLOOKUP(G415,'3-Productie normen'!A:K,10,FALSE)</f>
        <v>1859.5880019121171</v>
      </c>
      <c r="W415" s="163">
        <f>VLOOKUP(G415,'3-Productie normen'!A:K,11,FALSE)</f>
        <v>0</v>
      </c>
      <c r="X415" s="163"/>
      <c r="Z415" s="129">
        <f t="shared" si="34"/>
        <v>797.99996376037598</v>
      </c>
    </row>
    <row r="416" spans="1:26" ht="14.1" customHeight="1">
      <c r="A416" s="144">
        <v>422</v>
      </c>
      <c r="B416" s="160" t="s">
        <v>248</v>
      </c>
      <c r="C416" s="303" t="s">
        <v>739</v>
      </c>
      <c r="D416" s="304" t="s">
        <v>98</v>
      </c>
      <c r="E416" s="694" t="s">
        <v>315</v>
      </c>
      <c r="F416" s="303" t="s">
        <v>282</v>
      </c>
      <c r="G416" s="460" t="s">
        <v>881</v>
      </c>
      <c r="H416" s="534" t="s">
        <v>100</v>
      </c>
      <c r="I416" s="582" t="str">
        <f>VLOOKUP(H416,'9a-Typen vloeren'!$A$10:$B$40,2,FALSE)</f>
        <v>Sprayen/ conserveren</v>
      </c>
      <c r="J416" s="588">
        <v>15.199999809265137</v>
      </c>
      <c r="K416" s="433">
        <f t="shared" si="30"/>
        <v>0</v>
      </c>
      <c r="L416" s="433">
        <f t="shared" si="31"/>
        <v>0</v>
      </c>
      <c r="M416" s="433">
        <f t="shared" si="32"/>
        <v>0</v>
      </c>
      <c r="N416" s="672"/>
      <c r="O416" s="729">
        <f>IF(N416="",0,N416*K416/'9b-Vloeronderhoud'!$F$4)</f>
        <v>0</v>
      </c>
      <c r="P416" s="672"/>
      <c r="Q416" s="729" t="e">
        <f>IF(O416="",0,P416*L416/'9b-Vloeronderhoud'!$F$6)</f>
        <v>#DIV/0!</v>
      </c>
      <c r="R416" s="449">
        <v>1</v>
      </c>
      <c r="S416" s="672" t="s">
        <v>179</v>
      </c>
      <c r="T416" s="161">
        <f t="shared" si="33"/>
        <v>0</v>
      </c>
      <c r="U416" s="162">
        <f>IF(S416="nio",0,IF(S416&gt;0,VLOOKUP(G416,'3-Productie normen'!A:K,VLOOKUP(S416,'3-Productie normen'!L:N,3,FALSE),FALSE)))</f>
        <v>0</v>
      </c>
      <c r="V416" s="162">
        <f>VLOOKUP(G416,'3-Productie normen'!A:K,10,FALSE)</f>
        <v>5262.809993648526</v>
      </c>
      <c r="W416" s="163">
        <f>VLOOKUP(G416,'3-Productie normen'!A:K,11,FALSE)</f>
        <v>0</v>
      </c>
      <c r="X416" s="163"/>
      <c r="Z416" s="129">
        <f t="shared" si="34"/>
        <v>0</v>
      </c>
    </row>
    <row r="417" spans="1:26" ht="14.1" customHeight="1">
      <c r="A417" s="144">
        <v>423</v>
      </c>
      <c r="B417" s="160" t="s">
        <v>248</v>
      </c>
      <c r="C417" s="303" t="s">
        <v>739</v>
      </c>
      <c r="D417" s="304" t="s">
        <v>98</v>
      </c>
      <c r="E417" s="694" t="s">
        <v>317</v>
      </c>
      <c r="F417" s="303" t="s">
        <v>316</v>
      </c>
      <c r="G417" s="460" t="s">
        <v>881</v>
      </c>
      <c r="H417" s="534" t="s">
        <v>100</v>
      </c>
      <c r="I417" s="582" t="str">
        <f>VLOOKUP(H417,'9a-Typen vloeren'!$A$10:$B$40,2,FALSE)</f>
        <v>Sprayen/ conserveren</v>
      </c>
      <c r="J417" s="588">
        <v>7.75</v>
      </c>
      <c r="K417" s="433">
        <f t="shared" si="30"/>
        <v>0</v>
      </c>
      <c r="L417" s="433">
        <f t="shared" si="31"/>
        <v>0</v>
      </c>
      <c r="M417" s="433">
        <f t="shared" si="32"/>
        <v>0</v>
      </c>
      <c r="N417" s="672"/>
      <c r="O417" s="729">
        <f>IF(N417="",0,N417*K417/'9b-Vloeronderhoud'!$F$4)</f>
        <v>0</v>
      </c>
      <c r="P417" s="672"/>
      <c r="Q417" s="729" t="e">
        <f>IF(O417="",0,P417*L417/'9b-Vloeronderhoud'!$F$6)</f>
        <v>#DIV/0!</v>
      </c>
      <c r="R417" s="449">
        <v>1</v>
      </c>
      <c r="S417" s="672" t="s">
        <v>179</v>
      </c>
      <c r="T417" s="161">
        <f t="shared" si="33"/>
        <v>0</v>
      </c>
      <c r="U417" s="162">
        <f>IF(S417="nio",0,IF(S417&gt;0,VLOOKUP(G417,'3-Productie normen'!A:K,VLOOKUP(S417,'3-Productie normen'!L:N,3,FALSE),FALSE)))</f>
        <v>0</v>
      </c>
      <c r="V417" s="162">
        <f>VLOOKUP(G417,'3-Productie normen'!A:K,10,FALSE)</f>
        <v>5262.809993648526</v>
      </c>
      <c r="W417" s="163">
        <f>VLOOKUP(G417,'3-Productie normen'!A:K,11,FALSE)</f>
        <v>0</v>
      </c>
      <c r="X417" s="163"/>
      <c r="Z417" s="129">
        <f t="shared" si="34"/>
        <v>0</v>
      </c>
    </row>
    <row r="418" spans="1:26" ht="14.1" customHeight="1">
      <c r="A418" s="144">
        <v>424</v>
      </c>
      <c r="B418" s="160" t="s">
        <v>248</v>
      </c>
      <c r="C418" s="303" t="s">
        <v>739</v>
      </c>
      <c r="D418" s="304" t="s">
        <v>98</v>
      </c>
      <c r="E418" s="694" t="s">
        <v>718</v>
      </c>
      <c r="F418" s="303" t="s">
        <v>382</v>
      </c>
      <c r="G418" s="460" t="s">
        <v>881</v>
      </c>
      <c r="H418" s="534" t="s">
        <v>101</v>
      </c>
      <c r="I418" s="582" t="str">
        <f>VLOOKUP(H418,'9a-Typen vloeren'!$A$10:$B$40,2,FALSE)</f>
        <v>Schrobben</v>
      </c>
      <c r="J418" s="588">
        <v>5.7600002288818359</v>
      </c>
      <c r="K418" s="433">
        <f t="shared" si="30"/>
        <v>0</v>
      </c>
      <c r="L418" s="433">
        <f t="shared" si="31"/>
        <v>0</v>
      </c>
      <c r="M418" s="433">
        <f t="shared" si="32"/>
        <v>0</v>
      </c>
      <c r="N418" s="672"/>
      <c r="O418" s="729">
        <f>IF(N418="",0,N418*K418/'9b-Vloeronderhoud'!$F$4)</f>
        <v>0</v>
      </c>
      <c r="P418" s="672"/>
      <c r="Q418" s="729" t="e">
        <f>IF(O418="",0,P418*L418/'9b-Vloeronderhoud'!$F$6)</f>
        <v>#DIV/0!</v>
      </c>
      <c r="R418" s="449">
        <v>1</v>
      </c>
      <c r="S418" s="672" t="s">
        <v>179</v>
      </c>
      <c r="T418" s="161">
        <f t="shared" si="33"/>
        <v>0</v>
      </c>
      <c r="U418" s="162">
        <f>IF(S418="nio",0,IF(S418&gt;0,VLOOKUP(G418,'3-Productie normen'!A:K,VLOOKUP(S418,'3-Productie normen'!L:N,3,FALSE),FALSE)))</f>
        <v>0</v>
      </c>
      <c r="V418" s="162">
        <f>VLOOKUP(G418,'3-Productie normen'!A:K,10,FALSE)</f>
        <v>5262.809993648526</v>
      </c>
      <c r="W418" s="163">
        <f>VLOOKUP(G418,'3-Productie normen'!A:K,11,FALSE)</f>
        <v>0</v>
      </c>
      <c r="X418" s="163"/>
      <c r="Z418" s="129">
        <f t="shared" si="34"/>
        <v>0</v>
      </c>
    </row>
    <row r="419" spans="1:26" ht="14.1" customHeight="1">
      <c r="A419" s="144">
        <v>425</v>
      </c>
      <c r="B419" s="160" t="s">
        <v>248</v>
      </c>
      <c r="C419" s="303" t="s">
        <v>739</v>
      </c>
      <c r="D419" s="304" t="s">
        <v>98</v>
      </c>
      <c r="E419" s="694" t="s">
        <v>319</v>
      </c>
      <c r="F419" s="303" t="s">
        <v>282</v>
      </c>
      <c r="G419" s="460" t="s">
        <v>881</v>
      </c>
      <c r="H419" s="534" t="s">
        <v>100</v>
      </c>
      <c r="I419" s="582" t="str">
        <f>VLOOKUP(H419,'9a-Typen vloeren'!$A$10:$B$40,2,FALSE)</f>
        <v>Sprayen/ conserveren</v>
      </c>
      <c r="J419" s="588">
        <v>6.75</v>
      </c>
      <c r="K419" s="433">
        <f t="shared" si="30"/>
        <v>0</v>
      </c>
      <c r="L419" s="433">
        <f t="shared" si="31"/>
        <v>0</v>
      </c>
      <c r="M419" s="433">
        <f t="shared" si="32"/>
        <v>0</v>
      </c>
      <c r="N419" s="672"/>
      <c r="O419" s="729">
        <f>IF(N419="",0,N419*K419/'9b-Vloeronderhoud'!$F$4)</f>
        <v>0</v>
      </c>
      <c r="P419" s="672"/>
      <c r="Q419" s="729" t="e">
        <f>IF(O419="",0,P419*L419/'9b-Vloeronderhoud'!$F$6)</f>
        <v>#DIV/0!</v>
      </c>
      <c r="R419" s="449">
        <v>1</v>
      </c>
      <c r="S419" s="672" t="s">
        <v>179</v>
      </c>
      <c r="T419" s="161">
        <f t="shared" si="33"/>
        <v>0</v>
      </c>
      <c r="U419" s="162">
        <f>IF(S419="nio",0,IF(S419&gt;0,VLOOKUP(G419,'3-Productie normen'!A:K,VLOOKUP(S419,'3-Productie normen'!L:N,3,FALSE),FALSE)))</f>
        <v>0</v>
      </c>
      <c r="V419" s="162">
        <f>VLOOKUP(G419,'3-Productie normen'!A:K,10,FALSE)</f>
        <v>5262.809993648526</v>
      </c>
      <c r="W419" s="163">
        <f>VLOOKUP(G419,'3-Productie normen'!A:K,11,FALSE)</f>
        <v>0</v>
      </c>
      <c r="X419" s="163"/>
      <c r="Z419" s="129">
        <f t="shared" si="34"/>
        <v>0</v>
      </c>
    </row>
    <row r="420" spans="1:26" ht="14.1" customHeight="1">
      <c r="A420" s="144">
        <v>426</v>
      </c>
      <c r="B420" s="160" t="s">
        <v>248</v>
      </c>
      <c r="C420" s="303" t="s">
        <v>739</v>
      </c>
      <c r="D420" s="304" t="s">
        <v>98</v>
      </c>
      <c r="E420" s="694" t="s">
        <v>320</v>
      </c>
      <c r="F420" s="303" t="s">
        <v>344</v>
      </c>
      <c r="G420" s="460" t="s">
        <v>221</v>
      </c>
      <c r="H420" s="303" t="s">
        <v>332</v>
      </c>
      <c r="I420" s="582" t="str">
        <f>VLOOKUP(H420,'9a-Typen vloeren'!$A$10:$B$40,2,FALSE)</f>
        <v>Sproei/extraheren</v>
      </c>
      <c r="J420" s="588">
        <v>7</v>
      </c>
      <c r="K420" s="433">
        <f t="shared" si="30"/>
        <v>0</v>
      </c>
      <c r="L420" s="433">
        <f t="shared" si="31"/>
        <v>0</v>
      </c>
      <c r="M420" s="433">
        <f t="shared" si="32"/>
        <v>7</v>
      </c>
      <c r="N420" s="672"/>
      <c r="O420" s="729">
        <f>IF(N420="",0,N420*K420/'9b-Vloeronderhoud'!$F$4)</f>
        <v>0</v>
      </c>
      <c r="P420" s="672"/>
      <c r="Q420" s="729" t="e">
        <f>IF(O420="",0,P420*L420/'9b-Vloeronderhoud'!$F$6)</f>
        <v>#DIV/0!</v>
      </c>
      <c r="R420" s="449">
        <v>1</v>
      </c>
      <c r="S420" s="672">
        <v>80</v>
      </c>
      <c r="T420" s="161" t="e">
        <f t="shared" si="33"/>
        <v>#DIV/0!</v>
      </c>
      <c r="U420" s="162">
        <f>IF(S420="nio",0,IF(S420&gt;0,VLOOKUP(G420,'3-Productie normen'!A:K,VLOOKUP(S420,'3-Productie normen'!L:N,3,FALSE),FALSE)))</f>
        <v>0</v>
      </c>
      <c r="V420" s="162">
        <f>VLOOKUP(G420,'3-Productie normen'!A:K,10,FALSE)</f>
        <v>16013.110036668773</v>
      </c>
      <c r="W420" s="163">
        <f>VLOOKUP(G420,'3-Productie normen'!A:K,11,FALSE)</f>
        <v>0</v>
      </c>
      <c r="X420" s="163"/>
      <c r="Z420" s="129">
        <f t="shared" si="34"/>
        <v>560</v>
      </c>
    </row>
    <row r="421" spans="1:26" ht="14.1" customHeight="1">
      <c r="A421" s="144">
        <v>427</v>
      </c>
      <c r="B421" s="160" t="s">
        <v>248</v>
      </c>
      <c r="C421" s="303" t="s">
        <v>739</v>
      </c>
      <c r="D421" s="304" t="s">
        <v>98</v>
      </c>
      <c r="E421" s="694" t="s">
        <v>321</v>
      </c>
      <c r="F421" s="303" t="s">
        <v>221</v>
      </c>
      <c r="G421" s="460" t="s">
        <v>221</v>
      </c>
      <c r="H421" s="303" t="s">
        <v>332</v>
      </c>
      <c r="I421" s="582" t="str">
        <f>VLOOKUP(H421,'9a-Typen vloeren'!$A$10:$B$40,2,FALSE)</f>
        <v>Sproei/extraheren</v>
      </c>
      <c r="J421" s="588">
        <v>55.380001068115234</v>
      </c>
      <c r="K421" s="433">
        <f t="shared" si="30"/>
        <v>0</v>
      </c>
      <c r="L421" s="433">
        <f t="shared" si="31"/>
        <v>0</v>
      </c>
      <c r="M421" s="433">
        <f t="shared" si="32"/>
        <v>55.380001068115234</v>
      </c>
      <c r="N421" s="672"/>
      <c r="O421" s="729">
        <f>IF(N421="",0,N421*K421/'9b-Vloeronderhoud'!$F$4)</f>
        <v>0</v>
      </c>
      <c r="P421" s="672"/>
      <c r="Q421" s="729" t="e">
        <f>IF(O421="",0,P421*L421/'9b-Vloeronderhoud'!$F$6)</f>
        <v>#DIV/0!</v>
      </c>
      <c r="R421" s="449">
        <v>1</v>
      </c>
      <c r="S421" s="688" t="s">
        <v>179</v>
      </c>
      <c r="T421" s="161">
        <f t="shared" si="33"/>
        <v>0</v>
      </c>
      <c r="U421" s="162">
        <f>IF(S421="nio",0,IF(S421&gt;0,VLOOKUP(G421,'3-Productie normen'!A:K,VLOOKUP(S421,'3-Productie normen'!L:N,3,FALSE),FALSE)))</f>
        <v>0</v>
      </c>
      <c r="V421" s="162">
        <f>VLOOKUP(G421,'3-Productie normen'!A:K,10,FALSE)</f>
        <v>16013.110036668773</v>
      </c>
      <c r="W421" s="163">
        <f>VLOOKUP(G421,'3-Productie normen'!A:K,11,FALSE)</f>
        <v>0</v>
      </c>
      <c r="X421" s="163"/>
      <c r="Z421" s="129">
        <f t="shared" si="34"/>
        <v>0</v>
      </c>
    </row>
    <row r="422" spans="1:26" ht="14.1" customHeight="1">
      <c r="A422" s="144">
        <v>428</v>
      </c>
      <c r="B422" s="160" t="s">
        <v>248</v>
      </c>
      <c r="C422" s="303" t="s">
        <v>739</v>
      </c>
      <c r="D422" s="304" t="s">
        <v>98</v>
      </c>
      <c r="E422" s="694" t="s">
        <v>719</v>
      </c>
      <c r="F422" s="303" t="s">
        <v>302</v>
      </c>
      <c r="G422" s="546" t="s">
        <v>18</v>
      </c>
      <c r="H422" s="534" t="s">
        <v>954</v>
      </c>
      <c r="I422" s="582" t="str">
        <f>VLOOKUP(H422,'9a-Typen vloeren'!$A$10:$B$40,2,FALSE)</f>
        <v>zie kwaliteitsontwerp</v>
      </c>
      <c r="J422" s="588">
        <v>5.7600002288818359</v>
      </c>
      <c r="K422" s="433">
        <f t="shared" si="30"/>
        <v>0</v>
      </c>
      <c r="L422" s="433">
        <f t="shared" si="31"/>
        <v>0</v>
      </c>
      <c r="M422" s="433">
        <f t="shared" si="32"/>
        <v>0</v>
      </c>
      <c r="N422" s="672"/>
      <c r="O422" s="729">
        <f>IF(N422="",0,N422*K422/'9b-Vloeronderhoud'!$F$4)</f>
        <v>0</v>
      </c>
      <c r="P422" s="672"/>
      <c r="Q422" s="729" t="e">
        <f>IF(O422="",0,P422*L422/'9b-Vloeronderhoud'!$F$6)</f>
        <v>#DIV/0!</v>
      </c>
      <c r="R422" s="449">
        <v>1</v>
      </c>
      <c r="S422" s="672">
        <v>190</v>
      </c>
      <c r="T422" s="161" t="e">
        <f t="shared" si="33"/>
        <v>#DIV/0!</v>
      </c>
      <c r="U422" s="162">
        <f>IF(S422="nio",0,IF(S422&gt;0,VLOOKUP(G422,'3-Productie normen'!A:K,VLOOKUP(S422,'3-Productie normen'!L:N,3,FALSE),FALSE)))</f>
        <v>0</v>
      </c>
      <c r="V422" s="162">
        <f>VLOOKUP(G422,'3-Productie normen'!A:K,10,FALSE)</f>
        <v>1859.5880019121171</v>
      </c>
      <c r="W422" s="163">
        <f>VLOOKUP(G422,'3-Productie normen'!A:K,11,FALSE)</f>
        <v>0</v>
      </c>
      <c r="X422" s="163"/>
      <c r="Z422" s="129">
        <f t="shared" si="34"/>
        <v>1094.4000434875488</v>
      </c>
    </row>
    <row r="423" spans="1:26" ht="14.1" customHeight="1">
      <c r="A423" s="144">
        <v>429</v>
      </c>
      <c r="B423" s="160" t="s">
        <v>248</v>
      </c>
      <c r="C423" s="303" t="s">
        <v>739</v>
      </c>
      <c r="D423" s="304" t="s">
        <v>98</v>
      </c>
      <c r="E423" s="694" t="s">
        <v>325</v>
      </c>
      <c r="F423" s="303" t="s">
        <v>282</v>
      </c>
      <c r="G423" s="460" t="s">
        <v>881</v>
      </c>
      <c r="H423" s="534" t="s">
        <v>100</v>
      </c>
      <c r="I423" s="582" t="str">
        <f>VLOOKUP(H423,'9a-Typen vloeren'!$A$10:$B$40,2,FALSE)</f>
        <v>Sprayen/ conserveren</v>
      </c>
      <c r="J423" s="588">
        <v>6.75</v>
      </c>
      <c r="K423" s="433">
        <f t="shared" si="30"/>
        <v>0</v>
      </c>
      <c r="L423" s="433">
        <f t="shared" si="31"/>
        <v>0</v>
      </c>
      <c r="M423" s="433">
        <f t="shared" si="32"/>
        <v>0</v>
      </c>
      <c r="N423" s="672"/>
      <c r="O423" s="729">
        <f>IF(N423="",0,N423*K423/'9b-Vloeronderhoud'!$F$4)</f>
        <v>0</v>
      </c>
      <c r="P423" s="672"/>
      <c r="Q423" s="729" t="e">
        <f>IF(O423="",0,P423*L423/'9b-Vloeronderhoud'!$F$6)</f>
        <v>#DIV/0!</v>
      </c>
      <c r="R423" s="449">
        <v>1</v>
      </c>
      <c r="S423" s="672" t="s">
        <v>179</v>
      </c>
      <c r="T423" s="161">
        <f t="shared" si="33"/>
        <v>0</v>
      </c>
      <c r="U423" s="162">
        <f>IF(S423="nio",0,IF(S423&gt;0,VLOOKUP(G423,'3-Productie normen'!A:K,VLOOKUP(S423,'3-Productie normen'!L:N,3,FALSE),FALSE)))</f>
        <v>0</v>
      </c>
      <c r="V423" s="162">
        <f>VLOOKUP(G423,'3-Productie normen'!A:K,10,FALSE)</f>
        <v>5262.809993648526</v>
      </c>
      <c r="W423" s="163">
        <f>VLOOKUP(G423,'3-Productie normen'!A:K,11,FALSE)</f>
        <v>0</v>
      </c>
      <c r="X423" s="163"/>
      <c r="Z423" s="129">
        <f t="shared" si="34"/>
        <v>0</v>
      </c>
    </row>
    <row r="424" spans="1:26" ht="14.1" customHeight="1">
      <c r="A424" s="144">
        <v>430</v>
      </c>
      <c r="B424" s="160" t="s">
        <v>248</v>
      </c>
      <c r="C424" s="303" t="s">
        <v>739</v>
      </c>
      <c r="D424" s="304" t="s">
        <v>98</v>
      </c>
      <c r="E424" s="694" t="s">
        <v>326</v>
      </c>
      <c r="F424" s="303" t="s">
        <v>344</v>
      </c>
      <c r="G424" s="547" t="s">
        <v>221</v>
      </c>
      <c r="H424" s="303" t="s">
        <v>332</v>
      </c>
      <c r="I424" s="582" t="str">
        <f>VLOOKUP(H424,'9a-Typen vloeren'!$A$10:$B$40,2,FALSE)</f>
        <v>Sproei/extraheren</v>
      </c>
      <c r="J424" s="588">
        <v>7</v>
      </c>
      <c r="K424" s="433">
        <f t="shared" si="30"/>
        <v>0</v>
      </c>
      <c r="L424" s="433">
        <f t="shared" si="31"/>
        <v>0</v>
      </c>
      <c r="M424" s="433">
        <f t="shared" si="32"/>
        <v>7</v>
      </c>
      <c r="N424" s="672"/>
      <c r="O424" s="729">
        <f>IF(N424="",0,N424*K424/'9b-Vloeronderhoud'!$F$4)</f>
        <v>0</v>
      </c>
      <c r="P424" s="672"/>
      <c r="Q424" s="729" t="e">
        <f>IF(O424="",0,P424*L424/'9b-Vloeronderhoud'!$F$6)</f>
        <v>#DIV/0!</v>
      </c>
      <c r="R424" s="449">
        <v>1</v>
      </c>
      <c r="S424" s="672">
        <v>80</v>
      </c>
      <c r="T424" s="161" t="e">
        <f t="shared" si="33"/>
        <v>#DIV/0!</v>
      </c>
      <c r="U424" s="162">
        <f>IF(S424="nio",0,IF(S424&gt;0,VLOOKUP(G424,'3-Productie normen'!A:K,VLOOKUP(S424,'3-Productie normen'!L:N,3,FALSE),FALSE)))</f>
        <v>0</v>
      </c>
      <c r="V424" s="162">
        <f>VLOOKUP(G424,'3-Productie normen'!A:K,10,FALSE)</f>
        <v>16013.110036668773</v>
      </c>
      <c r="W424" s="163">
        <f>VLOOKUP(G424,'3-Productie normen'!A:K,11,FALSE)</f>
        <v>0</v>
      </c>
      <c r="X424" s="163"/>
      <c r="Z424" s="129">
        <f t="shared" si="34"/>
        <v>560</v>
      </c>
    </row>
    <row r="425" spans="1:26" ht="14.1" customHeight="1">
      <c r="A425" s="144">
        <v>431</v>
      </c>
      <c r="B425" s="160" t="s">
        <v>248</v>
      </c>
      <c r="C425" s="303" t="s">
        <v>739</v>
      </c>
      <c r="D425" s="304" t="s">
        <v>98</v>
      </c>
      <c r="E425" s="694" t="s">
        <v>328</v>
      </c>
      <c r="F425" s="303" t="s">
        <v>221</v>
      </c>
      <c r="G425" s="460" t="s">
        <v>221</v>
      </c>
      <c r="H425" s="303" t="s">
        <v>332</v>
      </c>
      <c r="I425" s="582" t="str">
        <f>VLOOKUP(H425,'9a-Typen vloeren'!$A$10:$B$40,2,FALSE)</f>
        <v>Sproei/extraheren</v>
      </c>
      <c r="J425" s="588">
        <v>55.380001068115234</v>
      </c>
      <c r="K425" s="433">
        <f t="shared" si="30"/>
        <v>0</v>
      </c>
      <c r="L425" s="433">
        <f t="shared" si="31"/>
        <v>0</v>
      </c>
      <c r="M425" s="433">
        <f t="shared" si="32"/>
        <v>55.380001068115234</v>
      </c>
      <c r="N425" s="672"/>
      <c r="O425" s="729">
        <f>IF(N425="",0,N425*K425/'9b-Vloeronderhoud'!$F$4)</f>
        <v>0</v>
      </c>
      <c r="P425" s="672"/>
      <c r="Q425" s="729" t="e">
        <f>IF(O425="",0,P425*L425/'9b-Vloeronderhoud'!$F$6)</f>
        <v>#DIV/0!</v>
      </c>
      <c r="R425" s="449">
        <v>1</v>
      </c>
      <c r="S425" s="672">
        <v>80</v>
      </c>
      <c r="T425" s="161" t="e">
        <f t="shared" si="33"/>
        <v>#DIV/0!</v>
      </c>
      <c r="U425" s="162">
        <f>IF(S425="nio",0,IF(S425&gt;0,VLOOKUP(G425,'3-Productie normen'!A:K,VLOOKUP(S425,'3-Productie normen'!L:N,3,FALSE),FALSE)))</f>
        <v>0</v>
      </c>
      <c r="V425" s="162">
        <f>VLOOKUP(G425,'3-Productie normen'!A:K,10,FALSE)</f>
        <v>16013.110036668773</v>
      </c>
      <c r="W425" s="163">
        <f>VLOOKUP(G425,'3-Productie normen'!A:K,11,FALSE)</f>
        <v>0</v>
      </c>
      <c r="X425" s="163"/>
      <c r="Z425" s="129">
        <f t="shared" si="34"/>
        <v>4430.4000854492188</v>
      </c>
    </row>
    <row r="426" spans="1:26" ht="14.1" customHeight="1">
      <c r="A426" s="144">
        <v>432</v>
      </c>
      <c r="B426" s="160" t="s">
        <v>248</v>
      </c>
      <c r="C426" s="303" t="s">
        <v>739</v>
      </c>
      <c r="D426" s="304" t="s">
        <v>98</v>
      </c>
      <c r="E426" s="694" t="s">
        <v>720</v>
      </c>
      <c r="F426" s="303" t="s">
        <v>302</v>
      </c>
      <c r="G426" s="122" t="s">
        <v>18</v>
      </c>
      <c r="H426" s="534" t="s">
        <v>954</v>
      </c>
      <c r="I426" s="582" t="str">
        <f>VLOOKUP(H426,'9a-Typen vloeren'!$A$10:$B$40,2,FALSE)</f>
        <v>zie kwaliteitsontwerp</v>
      </c>
      <c r="J426" s="588">
        <v>5.7600002288818359</v>
      </c>
      <c r="K426" s="433">
        <f t="shared" si="30"/>
        <v>0</v>
      </c>
      <c r="L426" s="433">
        <f t="shared" si="31"/>
        <v>0</v>
      </c>
      <c r="M426" s="433">
        <f t="shared" si="32"/>
        <v>0</v>
      </c>
      <c r="N426" s="672"/>
      <c r="O426" s="729">
        <f>IF(N426="",0,N426*K426/'9b-Vloeronderhoud'!$F$4)</f>
        <v>0</v>
      </c>
      <c r="P426" s="672"/>
      <c r="Q426" s="729" t="e">
        <f>IF(O426="",0,P426*L426/'9b-Vloeronderhoud'!$F$6)</f>
        <v>#DIV/0!</v>
      </c>
      <c r="R426" s="449">
        <v>1</v>
      </c>
      <c r="S426" s="672">
        <v>190</v>
      </c>
      <c r="T426" s="161" t="e">
        <f t="shared" si="33"/>
        <v>#DIV/0!</v>
      </c>
      <c r="U426" s="162">
        <f>IF(S426="nio",0,IF(S426&gt;0,VLOOKUP(G426,'3-Productie normen'!A:K,VLOOKUP(S426,'3-Productie normen'!L:N,3,FALSE),FALSE)))</f>
        <v>0</v>
      </c>
      <c r="V426" s="162">
        <f>VLOOKUP(G426,'3-Productie normen'!A:K,10,FALSE)</f>
        <v>1859.5880019121171</v>
      </c>
      <c r="W426" s="163">
        <f>VLOOKUP(G426,'3-Productie normen'!A:K,11,FALSE)</f>
        <v>0</v>
      </c>
      <c r="X426" s="163"/>
      <c r="Z426" s="129">
        <f t="shared" si="34"/>
        <v>1094.4000434875488</v>
      </c>
    </row>
    <row r="427" spans="1:26" ht="14.1" customHeight="1">
      <c r="A427" s="144">
        <v>433</v>
      </c>
      <c r="B427" s="160" t="s">
        <v>248</v>
      </c>
      <c r="C427" s="303" t="s">
        <v>739</v>
      </c>
      <c r="D427" s="304" t="s">
        <v>98</v>
      </c>
      <c r="E427" s="694" t="s">
        <v>330</v>
      </c>
      <c r="F427" s="303" t="s">
        <v>282</v>
      </c>
      <c r="G427" s="460" t="s">
        <v>881</v>
      </c>
      <c r="H427" s="534" t="s">
        <v>100</v>
      </c>
      <c r="I427" s="582" t="str">
        <f>VLOOKUP(H427,'9a-Typen vloeren'!$A$10:$B$40,2,FALSE)</f>
        <v>Sprayen/ conserveren</v>
      </c>
      <c r="J427" s="588">
        <v>6.75</v>
      </c>
      <c r="K427" s="433">
        <f t="shared" si="30"/>
        <v>0</v>
      </c>
      <c r="L427" s="433">
        <f t="shared" si="31"/>
        <v>0</v>
      </c>
      <c r="M427" s="433">
        <f t="shared" si="32"/>
        <v>0</v>
      </c>
      <c r="N427" s="672"/>
      <c r="O427" s="729">
        <f>IF(N427="",0,N427*K427/'9b-Vloeronderhoud'!$F$4)</f>
        <v>0</v>
      </c>
      <c r="P427" s="672"/>
      <c r="Q427" s="729" t="e">
        <f>IF(O427="",0,P427*L427/'9b-Vloeronderhoud'!$F$6)</f>
        <v>#DIV/0!</v>
      </c>
      <c r="R427" s="449">
        <v>1</v>
      </c>
      <c r="S427" s="672" t="s">
        <v>179</v>
      </c>
      <c r="T427" s="161">
        <f t="shared" si="33"/>
        <v>0</v>
      </c>
      <c r="U427" s="162">
        <f>IF(S427="nio",0,IF(S427&gt;0,VLOOKUP(G427,'3-Productie normen'!A:K,VLOOKUP(S427,'3-Productie normen'!L:N,3,FALSE),FALSE)))</f>
        <v>0</v>
      </c>
      <c r="V427" s="162">
        <f>VLOOKUP(G427,'3-Productie normen'!A:K,10,FALSE)</f>
        <v>5262.809993648526</v>
      </c>
      <c r="W427" s="163">
        <f>VLOOKUP(G427,'3-Productie normen'!A:K,11,FALSE)</f>
        <v>0</v>
      </c>
      <c r="X427" s="163"/>
      <c r="Z427" s="129">
        <f t="shared" si="34"/>
        <v>0</v>
      </c>
    </row>
    <row r="428" spans="1:26" ht="14.1" customHeight="1">
      <c r="A428" s="144">
        <v>434</v>
      </c>
      <c r="B428" s="160" t="s">
        <v>248</v>
      </c>
      <c r="C428" s="303" t="s">
        <v>739</v>
      </c>
      <c r="D428" s="304" t="s">
        <v>98</v>
      </c>
      <c r="E428" s="694" t="s">
        <v>331</v>
      </c>
      <c r="F428" s="303" t="s">
        <v>721</v>
      </c>
      <c r="G428" s="533" t="s">
        <v>221</v>
      </c>
      <c r="H428" s="303" t="s">
        <v>332</v>
      </c>
      <c r="I428" s="582" t="str">
        <f>VLOOKUP(H428,'9a-Typen vloeren'!$A$10:$B$40,2,FALSE)</f>
        <v>Sproei/extraheren</v>
      </c>
      <c r="J428" s="588">
        <v>7</v>
      </c>
      <c r="K428" s="433">
        <f t="shared" si="30"/>
        <v>0</v>
      </c>
      <c r="L428" s="433">
        <f t="shared" si="31"/>
        <v>0</v>
      </c>
      <c r="M428" s="433">
        <f t="shared" si="32"/>
        <v>7</v>
      </c>
      <c r="N428" s="672"/>
      <c r="O428" s="729">
        <f>IF(N428="",0,N428*K428/'9b-Vloeronderhoud'!$F$4)</f>
        <v>0</v>
      </c>
      <c r="P428" s="672"/>
      <c r="Q428" s="729" t="e">
        <f>IF(O428="",0,P428*L428/'9b-Vloeronderhoud'!$F$6)</f>
        <v>#DIV/0!</v>
      </c>
      <c r="R428" s="449">
        <v>1</v>
      </c>
      <c r="S428" s="672">
        <v>80</v>
      </c>
      <c r="T428" s="161" t="e">
        <f t="shared" si="33"/>
        <v>#DIV/0!</v>
      </c>
      <c r="U428" s="162">
        <f>IF(S428="nio",0,IF(S428&gt;0,VLOOKUP(G428,'3-Productie normen'!A:K,VLOOKUP(S428,'3-Productie normen'!L:N,3,FALSE),FALSE)))</f>
        <v>0</v>
      </c>
      <c r="V428" s="162">
        <f>VLOOKUP(G428,'3-Productie normen'!A:K,10,FALSE)</f>
        <v>16013.110036668773</v>
      </c>
      <c r="W428" s="163">
        <f>VLOOKUP(G428,'3-Productie normen'!A:K,11,FALSE)</f>
        <v>0</v>
      </c>
      <c r="X428" s="163"/>
      <c r="Z428" s="129">
        <f t="shared" si="34"/>
        <v>560</v>
      </c>
    </row>
    <row r="429" spans="1:26" ht="14.1" customHeight="1">
      <c r="A429" s="144">
        <v>435</v>
      </c>
      <c r="B429" s="160" t="s">
        <v>248</v>
      </c>
      <c r="C429" s="303" t="s">
        <v>739</v>
      </c>
      <c r="D429" s="304" t="s">
        <v>98</v>
      </c>
      <c r="E429" s="694" t="s">
        <v>406</v>
      </c>
      <c r="F429" s="303" t="s">
        <v>722</v>
      </c>
      <c r="G429" s="122" t="s">
        <v>221</v>
      </c>
      <c r="H429" s="303" t="s">
        <v>332</v>
      </c>
      <c r="I429" s="582" t="str">
        <f>VLOOKUP(H429,'9a-Typen vloeren'!$A$10:$B$40,2,FALSE)</f>
        <v>Sproei/extraheren</v>
      </c>
      <c r="J429" s="588">
        <v>55.380001068115234</v>
      </c>
      <c r="K429" s="433">
        <f t="shared" si="30"/>
        <v>0</v>
      </c>
      <c r="L429" s="433">
        <f t="shared" si="31"/>
        <v>0</v>
      </c>
      <c r="M429" s="433">
        <f t="shared" si="32"/>
        <v>55.380001068115234</v>
      </c>
      <c r="N429" s="672"/>
      <c r="O429" s="729">
        <f>IF(N429="",0,N429*K429/'9b-Vloeronderhoud'!$F$4)</f>
        <v>0</v>
      </c>
      <c r="P429" s="672"/>
      <c r="Q429" s="729" t="e">
        <f>IF(O429="",0,P429*L429/'9b-Vloeronderhoud'!$F$6)</f>
        <v>#DIV/0!</v>
      </c>
      <c r="R429" s="449">
        <v>1</v>
      </c>
      <c r="S429" s="672">
        <v>80</v>
      </c>
      <c r="T429" s="161" t="e">
        <f t="shared" si="33"/>
        <v>#DIV/0!</v>
      </c>
      <c r="U429" s="162">
        <f>IF(S429="nio",0,IF(S429&gt;0,VLOOKUP(G429,'3-Productie normen'!A:K,VLOOKUP(S429,'3-Productie normen'!L:N,3,FALSE),FALSE)))</f>
        <v>0</v>
      </c>
      <c r="V429" s="162">
        <f>VLOOKUP(G429,'3-Productie normen'!A:K,10,FALSE)</f>
        <v>16013.110036668773</v>
      </c>
      <c r="W429" s="163">
        <f>VLOOKUP(G429,'3-Productie normen'!A:K,11,FALSE)</f>
        <v>0</v>
      </c>
      <c r="X429" s="163"/>
      <c r="Z429" s="129">
        <f t="shared" si="34"/>
        <v>4430.4000854492188</v>
      </c>
    </row>
    <row r="430" spans="1:26" ht="14.1" customHeight="1">
      <c r="A430" s="144">
        <v>436</v>
      </c>
      <c r="B430" s="160" t="s">
        <v>248</v>
      </c>
      <c r="C430" s="303" t="s">
        <v>739</v>
      </c>
      <c r="D430" s="304" t="s">
        <v>98</v>
      </c>
      <c r="E430" s="694" t="s">
        <v>407</v>
      </c>
      <c r="F430" s="303" t="s">
        <v>99</v>
      </c>
      <c r="G430" s="546" t="s">
        <v>99</v>
      </c>
      <c r="H430" s="303" t="s">
        <v>332</v>
      </c>
      <c r="I430" s="582" t="str">
        <f>VLOOKUP(H430,'9a-Typen vloeren'!$A$10:$B$40,2,FALSE)</f>
        <v>Sproei/extraheren</v>
      </c>
      <c r="J430" s="588">
        <v>4.8000001907348633</v>
      </c>
      <c r="K430" s="433">
        <f t="shared" si="30"/>
        <v>0</v>
      </c>
      <c r="L430" s="433">
        <f t="shared" si="31"/>
        <v>0</v>
      </c>
      <c r="M430" s="433">
        <f t="shared" si="32"/>
        <v>4.8000001907348633</v>
      </c>
      <c r="N430" s="672"/>
      <c r="O430" s="729">
        <f>IF(N430="",0,N430*K430/'9b-Vloeronderhoud'!$F$4)</f>
        <v>0</v>
      </c>
      <c r="P430" s="672"/>
      <c r="Q430" s="729" t="e">
        <f>IF(O430="",0,P430*L430/'9b-Vloeronderhoud'!$F$6)</f>
        <v>#DIV/0!</v>
      </c>
      <c r="R430" s="449">
        <v>1</v>
      </c>
      <c r="S430" s="672">
        <v>190</v>
      </c>
      <c r="T430" s="161" t="e">
        <f t="shared" si="33"/>
        <v>#DIV/0!</v>
      </c>
      <c r="U430" s="162">
        <f>IF(S430="nio",0,IF(S430&gt;0,VLOOKUP(G430,'3-Productie normen'!A:K,VLOOKUP(S430,'3-Productie normen'!L:N,3,FALSE),FALSE)))</f>
        <v>0</v>
      </c>
      <c r="V430" s="162">
        <f>VLOOKUP(G430,'3-Productie normen'!A:K,10,FALSE)</f>
        <v>726.97999910354622</v>
      </c>
      <c r="W430" s="163">
        <f>VLOOKUP(G430,'3-Productie normen'!A:K,11,FALSE)</f>
        <v>0</v>
      </c>
      <c r="X430" s="163"/>
      <c r="Z430" s="129">
        <f t="shared" si="34"/>
        <v>912.00003623962402</v>
      </c>
    </row>
    <row r="431" spans="1:26" ht="14.1" customHeight="1">
      <c r="A431" s="144">
        <v>437</v>
      </c>
      <c r="B431" s="160" t="s">
        <v>248</v>
      </c>
      <c r="C431" s="303" t="s">
        <v>739</v>
      </c>
      <c r="D431" s="304" t="s">
        <v>98</v>
      </c>
      <c r="E431" s="694" t="s">
        <v>408</v>
      </c>
      <c r="F431" s="303" t="s">
        <v>344</v>
      </c>
      <c r="G431" s="545" t="s">
        <v>286</v>
      </c>
      <c r="H431" s="534" t="s">
        <v>100</v>
      </c>
      <c r="I431" s="582" t="str">
        <f>VLOOKUP(H431,'9a-Typen vloeren'!$A$10:$B$40,2,FALSE)</f>
        <v>Sprayen/ conserveren</v>
      </c>
      <c r="J431" s="588">
        <v>3.5</v>
      </c>
      <c r="K431" s="433">
        <f t="shared" si="30"/>
        <v>3.5</v>
      </c>
      <c r="L431" s="433">
        <f t="shared" si="31"/>
        <v>0</v>
      </c>
      <c r="M431" s="433">
        <f t="shared" si="32"/>
        <v>0</v>
      </c>
      <c r="N431" s="672"/>
      <c r="O431" s="729">
        <f>IF(N431="",0,N431*K431/'9b-Vloeronderhoud'!$F$4)</f>
        <v>0</v>
      </c>
      <c r="P431" s="672"/>
      <c r="Q431" s="729" t="e">
        <f>IF(O431="",0,P431*L431/'9b-Vloeronderhoud'!$F$6)</f>
        <v>#DIV/0!</v>
      </c>
      <c r="R431" s="449">
        <v>1</v>
      </c>
      <c r="S431" s="672">
        <v>80</v>
      </c>
      <c r="T431" s="161" t="e">
        <f t="shared" si="33"/>
        <v>#DIV/0!</v>
      </c>
      <c r="U431" s="162">
        <f>IF(S431="nio",0,IF(S431&gt;0,VLOOKUP(G431,'3-Productie normen'!A:K,VLOOKUP(S431,'3-Productie normen'!L:N,3,FALSE),FALSE)))</f>
        <v>0</v>
      </c>
      <c r="V431" s="162">
        <f>VLOOKUP(G431,'3-Productie normen'!A:K,10,FALSE)</f>
        <v>6152.9500017547598</v>
      </c>
      <c r="W431" s="163">
        <f>VLOOKUP(G431,'3-Productie normen'!A:K,11,FALSE)</f>
        <v>0</v>
      </c>
      <c r="X431" s="163"/>
      <c r="Z431" s="129">
        <f t="shared" si="34"/>
        <v>280</v>
      </c>
    </row>
    <row r="432" spans="1:26" ht="14.1" customHeight="1">
      <c r="A432" s="144">
        <v>438</v>
      </c>
      <c r="B432" s="160" t="s">
        <v>248</v>
      </c>
      <c r="C432" s="303" t="s">
        <v>739</v>
      </c>
      <c r="D432" s="304" t="s">
        <v>98</v>
      </c>
      <c r="E432" s="694" t="s">
        <v>414</v>
      </c>
      <c r="F432" s="303" t="s">
        <v>344</v>
      </c>
      <c r="G432" s="303" t="s">
        <v>286</v>
      </c>
      <c r="H432" s="534" t="s">
        <v>100</v>
      </c>
      <c r="I432" s="582" t="str">
        <f>VLOOKUP(H432,'9a-Typen vloeren'!$A$10:$B$40,2,FALSE)</f>
        <v>Sprayen/ conserveren</v>
      </c>
      <c r="J432" s="588">
        <v>3.5</v>
      </c>
      <c r="K432" s="433">
        <f t="shared" si="30"/>
        <v>3.5</v>
      </c>
      <c r="L432" s="433">
        <f t="shared" si="31"/>
        <v>0</v>
      </c>
      <c r="M432" s="433">
        <f t="shared" si="32"/>
        <v>0</v>
      </c>
      <c r="N432" s="672"/>
      <c r="O432" s="729">
        <f>IF(N432="",0,N432*K432/'9b-Vloeronderhoud'!$F$4)</f>
        <v>0</v>
      </c>
      <c r="P432" s="672"/>
      <c r="Q432" s="729" t="e">
        <f>IF(O432="",0,P432*L432/'9b-Vloeronderhoud'!$F$6)</f>
        <v>#DIV/0!</v>
      </c>
      <c r="R432" s="449">
        <v>1</v>
      </c>
      <c r="S432" s="672">
        <v>80</v>
      </c>
      <c r="T432" s="161" t="e">
        <f t="shared" si="33"/>
        <v>#DIV/0!</v>
      </c>
      <c r="U432" s="162">
        <f>IF(S432="nio",0,IF(S432&gt;0,VLOOKUP(G432,'3-Productie normen'!A:K,VLOOKUP(S432,'3-Productie normen'!L:N,3,FALSE),FALSE)))</f>
        <v>0</v>
      </c>
      <c r="V432" s="162">
        <f>VLOOKUP(G432,'3-Productie normen'!A:K,10,FALSE)</f>
        <v>6152.9500017547598</v>
      </c>
      <c r="W432" s="163">
        <f>VLOOKUP(G432,'3-Productie normen'!A:K,11,FALSE)</f>
        <v>0</v>
      </c>
      <c r="X432" s="163"/>
      <c r="Z432" s="129">
        <f t="shared" si="34"/>
        <v>280</v>
      </c>
    </row>
    <row r="433" spans="1:26" ht="14.1" customHeight="1">
      <c r="A433" s="144">
        <v>439</v>
      </c>
      <c r="B433" s="160" t="s">
        <v>248</v>
      </c>
      <c r="C433" s="303" t="s">
        <v>739</v>
      </c>
      <c r="D433" s="304" t="s">
        <v>98</v>
      </c>
      <c r="E433" s="694" t="s">
        <v>415</v>
      </c>
      <c r="F433" s="303" t="s">
        <v>297</v>
      </c>
      <c r="G433" s="303" t="s">
        <v>189</v>
      </c>
      <c r="H433" s="534" t="s">
        <v>735</v>
      </c>
      <c r="I433" s="582" t="str">
        <f>VLOOKUP(H433,'9a-Typen vloeren'!$A$10:$B$40,2,FALSE)</f>
        <v>n.v.t.</v>
      </c>
      <c r="J433" s="588">
        <v>17.159999847412109</v>
      </c>
      <c r="K433" s="433">
        <f t="shared" si="30"/>
        <v>0</v>
      </c>
      <c r="L433" s="433">
        <f t="shared" si="31"/>
        <v>0</v>
      </c>
      <c r="M433" s="433">
        <f t="shared" si="32"/>
        <v>0</v>
      </c>
      <c r="N433" s="672"/>
      <c r="O433" s="729">
        <f>IF(N433="",0,N433*K433/'9b-Vloeronderhoud'!$F$4)</f>
        <v>0</v>
      </c>
      <c r="P433" s="672"/>
      <c r="Q433" s="729" t="e">
        <f>IF(O433="",0,P433*L433/'9b-Vloeronderhoud'!$F$6)</f>
        <v>#DIV/0!</v>
      </c>
      <c r="R433" s="449">
        <v>1</v>
      </c>
      <c r="S433" s="672">
        <v>40</v>
      </c>
      <c r="T433" s="161" t="e">
        <f t="shared" si="33"/>
        <v>#DIV/0!</v>
      </c>
      <c r="U433" s="162">
        <f>IF(S433="nio",0,IF(S433&gt;0,VLOOKUP(G433,'3-Productie normen'!A:K,VLOOKUP(S433,'3-Productie normen'!L:N,3,FALSE),FALSE)))</f>
        <v>0</v>
      </c>
      <c r="V433" s="162">
        <f>VLOOKUP(G433,'3-Productie normen'!A:K,10,FALSE)</f>
        <v>1494.1700078582762</v>
      </c>
      <c r="W433" s="163">
        <f>VLOOKUP(G433,'3-Productie normen'!A:K,11,FALSE)</f>
        <v>0</v>
      </c>
      <c r="X433" s="163"/>
      <c r="Z433" s="129">
        <f t="shared" si="34"/>
        <v>686.39999389648438</v>
      </c>
    </row>
    <row r="434" spans="1:26" ht="14.1" customHeight="1">
      <c r="A434" s="144">
        <v>440</v>
      </c>
      <c r="B434" s="160" t="s">
        <v>248</v>
      </c>
      <c r="C434" s="303" t="s">
        <v>739</v>
      </c>
      <c r="D434" s="304" t="s">
        <v>98</v>
      </c>
      <c r="E434" s="694" t="s">
        <v>416</v>
      </c>
      <c r="F434" s="303" t="s">
        <v>290</v>
      </c>
      <c r="G434" s="303" t="s">
        <v>190</v>
      </c>
      <c r="H434" s="534" t="s">
        <v>100</v>
      </c>
      <c r="I434" s="582" t="str">
        <f>VLOOKUP(H434,'9a-Typen vloeren'!$A$10:$B$40,2,FALSE)</f>
        <v>Sprayen/ conserveren</v>
      </c>
      <c r="J434" s="588">
        <v>9.6800003051757813</v>
      </c>
      <c r="K434" s="433">
        <f t="shared" si="30"/>
        <v>9.6800003051757813</v>
      </c>
      <c r="L434" s="433">
        <f t="shared" si="31"/>
        <v>0</v>
      </c>
      <c r="M434" s="433">
        <f t="shared" si="32"/>
        <v>0</v>
      </c>
      <c r="N434" s="672">
        <v>2</v>
      </c>
      <c r="O434" s="729" t="e">
        <f>IF(N434="",0,N434*K434/'9b-Vloeronderhoud'!$F$4)</f>
        <v>#DIV/0!</v>
      </c>
      <c r="P434" s="672"/>
      <c r="Q434" s="729" t="e">
        <f>IF(O434="",0,P434*L434/'9b-Vloeronderhoud'!$F$6)</f>
        <v>#DIV/0!</v>
      </c>
      <c r="R434" s="449">
        <v>1</v>
      </c>
      <c r="S434" s="672">
        <v>40</v>
      </c>
      <c r="T434" s="161" t="e">
        <f t="shared" si="33"/>
        <v>#DIV/0!</v>
      </c>
      <c r="U434" s="162">
        <f>IF(S434="nio",0,IF(S434&gt;0,VLOOKUP(G434,'3-Productie normen'!A:K,VLOOKUP(S434,'3-Productie normen'!L:N,3,FALSE),FALSE)))</f>
        <v>0</v>
      </c>
      <c r="V434" s="162">
        <f>VLOOKUP(G434,'3-Productie normen'!A:K,10,FALSE)</f>
        <v>281.65000052452086</v>
      </c>
      <c r="W434" s="163">
        <f>VLOOKUP(G434,'3-Productie normen'!A:K,11,FALSE)</f>
        <v>0</v>
      </c>
      <c r="X434" s="163"/>
      <c r="Z434" s="129">
        <f t="shared" si="34"/>
        <v>387.20001220703125</v>
      </c>
    </row>
    <row r="435" spans="1:26" ht="14.1" customHeight="1">
      <c r="A435" s="144">
        <v>441</v>
      </c>
      <c r="B435" s="159" t="s">
        <v>260</v>
      </c>
      <c r="C435" s="159" t="s">
        <v>265</v>
      </c>
      <c r="D435" s="132" t="s">
        <v>98</v>
      </c>
      <c r="E435" s="702">
        <v>12</v>
      </c>
      <c r="F435" s="126" t="s">
        <v>268</v>
      </c>
      <c r="G435" s="533" t="s">
        <v>221</v>
      </c>
      <c r="H435" s="542" t="s">
        <v>100</v>
      </c>
      <c r="I435" s="582" t="str">
        <f>VLOOKUP(H435,'9a-Typen vloeren'!$A$10:$B$40,2,FALSE)</f>
        <v>Sprayen/ conserveren</v>
      </c>
      <c r="J435" s="589">
        <v>63.1</v>
      </c>
      <c r="K435" s="433">
        <f t="shared" si="30"/>
        <v>63.1</v>
      </c>
      <c r="L435" s="433">
        <f t="shared" si="31"/>
        <v>0</v>
      </c>
      <c r="M435" s="433">
        <f t="shared" si="32"/>
        <v>0</v>
      </c>
      <c r="N435" s="672"/>
      <c r="O435" s="729">
        <f>IF(N435="",0,N435*K435/'9b-Vloeronderhoud'!$F$4)</f>
        <v>0</v>
      </c>
      <c r="P435" s="672"/>
      <c r="Q435" s="729" t="e">
        <f>IF(O435="",0,P435*L435/'9b-Vloeronderhoud'!$F$6)</f>
        <v>#DIV/0!</v>
      </c>
      <c r="R435" s="449">
        <v>1</v>
      </c>
      <c r="S435" s="688" t="s">
        <v>179</v>
      </c>
      <c r="T435" s="161">
        <f t="shared" si="33"/>
        <v>0</v>
      </c>
      <c r="U435" s="162">
        <f>IF(S435="nio",0,IF(S435&gt;0,VLOOKUP(G435,'3-Productie normen'!A:K,VLOOKUP(S435,'3-Productie normen'!L:N,3,FALSE),FALSE)))</f>
        <v>0</v>
      </c>
      <c r="V435" s="162">
        <f>VLOOKUP(G435,'3-Productie normen'!A:K,10,FALSE)</f>
        <v>16013.110036668773</v>
      </c>
      <c r="W435" s="163">
        <f>VLOOKUP(G435,'3-Productie normen'!A:K,11,FALSE)</f>
        <v>0</v>
      </c>
      <c r="X435" s="163"/>
      <c r="Z435" s="129">
        <f t="shared" si="34"/>
        <v>0</v>
      </c>
    </row>
    <row r="436" spans="1:26" ht="14.1" customHeight="1">
      <c r="A436" s="144">
        <v>442</v>
      </c>
      <c r="B436" s="159" t="s">
        <v>260</v>
      </c>
      <c r="C436" s="159" t="s">
        <v>265</v>
      </c>
      <c r="D436" s="132" t="s">
        <v>98</v>
      </c>
      <c r="E436" s="702">
        <v>13</v>
      </c>
      <c r="F436" s="126" t="s">
        <v>269</v>
      </c>
      <c r="G436" s="460" t="s">
        <v>18</v>
      </c>
      <c r="H436" s="534" t="s">
        <v>954</v>
      </c>
      <c r="I436" s="582" t="str">
        <f>VLOOKUP(H436,'9a-Typen vloeren'!$A$10:$B$40,2,FALSE)</f>
        <v>zie kwaliteitsontwerp</v>
      </c>
      <c r="J436" s="589">
        <v>7.2</v>
      </c>
      <c r="K436" s="433">
        <f t="shared" si="30"/>
        <v>0</v>
      </c>
      <c r="L436" s="433">
        <f t="shared" si="31"/>
        <v>0</v>
      </c>
      <c r="M436" s="433">
        <f t="shared" si="32"/>
        <v>0</v>
      </c>
      <c r="N436" s="672"/>
      <c r="O436" s="729">
        <f>IF(N436="",0,N436*K436/'9b-Vloeronderhoud'!$F$4)</f>
        <v>0</v>
      </c>
      <c r="P436" s="672"/>
      <c r="Q436" s="729" t="e">
        <f>IF(O436="",0,P436*L436/'9b-Vloeronderhoud'!$F$6)</f>
        <v>#DIV/0!</v>
      </c>
      <c r="R436" s="449">
        <v>1</v>
      </c>
      <c r="S436" s="672">
        <v>190</v>
      </c>
      <c r="T436" s="161" t="e">
        <f t="shared" si="33"/>
        <v>#DIV/0!</v>
      </c>
      <c r="U436" s="162">
        <f>IF(S436="nio",0,IF(S436&gt;0,VLOOKUP(G436,'3-Productie normen'!A:K,VLOOKUP(S436,'3-Productie normen'!L:N,3,FALSE),FALSE)))</f>
        <v>0</v>
      </c>
      <c r="V436" s="162">
        <f>VLOOKUP(G436,'3-Productie normen'!A:K,10,FALSE)</f>
        <v>1859.5880019121171</v>
      </c>
      <c r="W436" s="163">
        <f>VLOOKUP(G436,'3-Productie normen'!A:K,11,FALSE)</f>
        <v>0</v>
      </c>
      <c r="X436" s="163"/>
      <c r="Z436" s="129">
        <f t="shared" si="34"/>
        <v>1368</v>
      </c>
    </row>
    <row r="437" spans="1:26" ht="14.1" customHeight="1">
      <c r="A437" s="144">
        <v>443</v>
      </c>
      <c r="B437" s="159" t="s">
        <v>260</v>
      </c>
      <c r="C437" s="159" t="s">
        <v>265</v>
      </c>
      <c r="D437" s="132" t="s">
        <v>98</v>
      </c>
      <c r="E437" s="702">
        <v>14</v>
      </c>
      <c r="F437" s="126" t="s">
        <v>270</v>
      </c>
      <c r="G437" s="460" t="s">
        <v>18</v>
      </c>
      <c r="H437" s="534" t="s">
        <v>954</v>
      </c>
      <c r="I437" s="582" t="str">
        <f>VLOOKUP(H437,'9a-Typen vloeren'!$A$10:$B$40,2,FALSE)</f>
        <v>zie kwaliteitsontwerp</v>
      </c>
      <c r="J437" s="589">
        <v>5.9</v>
      </c>
      <c r="K437" s="433">
        <f t="shared" si="30"/>
        <v>0</v>
      </c>
      <c r="L437" s="433">
        <f t="shared" si="31"/>
        <v>0</v>
      </c>
      <c r="M437" s="433">
        <f t="shared" si="32"/>
        <v>0</v>
      </c>
      <c r="N437" s="672"/>
      <c r="O437" s="729">
        <f>IF(N437="",0,N437*K437/'9b-Vloeronderhoud'!$F$4)</f>
        <v>0</v>
      </c>
      <c r="P437" s="672"/>
      <c r="Q437" s="729" t="e">
        <f>IF(O437="",0,P437*L437/'9b-Vloeronderhoud'!$F$6)</f>
        <v>#DIV/0!</v>
      </c>
      <c r="R437" s="449">
        <v>1</v>
      </c>
      <c r="S437" s="672">
        <v>190</v>
      </c>
      <c r="T437" s="161" t="e">
        <f t="shared" si="33"/>
        <v>#DIV/0!</v>
      </c>
      <c r="U437" s="162">
        <f>IF(S437="nio",0,IF(S437&gt;0,VLOOKUP(G437,'3-Productie normen'!A:K,VLOOKUP(S437,'3-Productie normen'!L:N,3,FALSE),FALSE)))</f>
        <v>0</v>
      </c>
      <c r="V437" s="162">
        <f>VLOOKUP(G437,'3-Productie normen'!A:K,10,FALSE)</f>
        <v>1859.5880019121171</v>
      </c>
      <c r="W437" s="163">
        <f>VLOOKUP(G437,'3-Productie normen'!A:K,11,FALSE)</f>
        <v>0</v>
      </c>
      <c r="X437" s="163"/>
      <c r="Z437" s="129">
        <f t="shared" si="34"/>
        <v>1121</v>
      </c>
    </row>
    <row r="438" spans="1:26" ht="14.1" customHeight="1">
      <c r="A438" s="144">
        <v>444</v>
      </c>
      <c r="B438" s="159" t="s">
        <v>260</v>
      </c>
      <c r="C438" s="159" t="s">
        <v>265</v>
      </c>
      <c r="D438" s="132" t="s">
        <v>98</v>
      </c>
      <c r="E438" s="702">
        <v>15</v>
      </c>
      <c r="F438" s="159" t="s">
        <v>271</v>
      </c>
      <c r="G438" s="460" t="s">
        <v>881</v>
      </c>
      <c r="H438" s="542" t="s">
        <v>100</v>
      </c>
      <c r="I438" s="582" t="str">
        <f>VLOOKUP(H438,'9a-Typen vloeren'!$A$10:$B$40,2,FALSE)</f>
        <v>Sprayen/ conserveren</v>
      </c>
      <c r="J438" s="589">
        <v>4.3</v>
      </c>
      <c r="K438" s="433">
        <f t="shared" si="30"/>
        <v>0</v>
      </c>
      <c r="L438" s="433">
        <f t="shared" si="31"/>
        <v>0</v>
      </c>
      <c r="M438" s="433">
        <f t="shared" si="32"/>
        <v>0</v>
      </c>
      <c r="N438" s="672"/>
      <c r="O438" s="729">
        <f>IF(N438="",0,N438*K438/'9b-Vloeronderhoud'!$F$4)</f>
        <v>0</v>
      </c>
      <c r="P438" s="672"/>
      <c r="Q438" s="729" t="e">
        <f>IF(O438="",0,P438*L438/'9b-Vloeronderhoud'!$F$6)</f>
        <v>#DIV/0!</v>
      </c>
      <c r="R438" s="449">
        <v>1</v>
      </c>
      <c r="S438" s="672" t="s">
        <v>179</v>
      </c>
      <c r="T438" s="161">
        <f t="shared" si="33"/>
        <v>0</v>
      </c>
      <c r="U438" s="162">
        <f>IF(S438="nio",0,IF(S438&gt;0,VLOOKUP(G438,'3-Productie normen'!A:K,VLOOKUP(S438,'3-Productie normen'!L:N,3,FALSE),FALSE)))</f>
        <v>0</v>
      </c>
      <c r="V438" s="162">
        <f>VLOOKUP(G438,'3-Productie normen'!A:K,10,FALSE)</f>
        <v>5262.809993648526</v>
      </c>
      <c r="W438" s="163">
        <f>VLOOKUP(G438,'3-Productie normen'!A:K,11,FALSE)</f>
        <v>0</v>
      </c>
      <c r="X438" s="163"/>
      <c r="Z438" s="129">
        <f t="shared" si="34"/>
        <v>0</v>
      </c>
    </row>
    <row r="439" spans="1:26" ht="14.1" customHeight="1">
      <c r="A439" s="144">
        <v>445</v>
      </c>
      <c r="B439" s="159" t="s">
        <v>260</v>
      </c>
      <c r="C439" s="159" t="s">
        <v>265</v>
      </c>
      <c r="D439" s="132" t="s">
        <v>98</v>
      </c>
      <c r="E439" s="702">
        <v>16</v>
      </c>
      <c r="F439" s="160" t="s">
        <v>272</v>
      </c>
      <c r="G439" s="460" t="s">
        <v>881</v>
      </c>
      <c r="H439" s="542" t="s">
        <v>100</v>
      </c>
      <c r="I439" s="582" t="str">
        <f>VLOOKUP(H439,'9a-Typen vloeren'!$A$10:$B$40,2,FALSE)</f>
        <v>Sprayen/ conserveren</v>
      </c>
      <c r="J439" s="589">
        <v>7.6</v>
      </c>
      <c r="K439" s="433">
        <f t="shared" si="30"/>
        <v>0</v>
      </c>
      <c r="L439" s="433">
        <f t="shared" si="31"/>
        <v>0</v>
      </c>
      <c r="M439" s="433">
        <f t="shared" si="32"/>
        <v>0</v>
      </c>
      <c r="N439" s="672"/>
      <c r="O439" s="729">
        <f>IF(N439="",0,N439*K439/'9b-Vloeronderhoud'!$F$4)</f>
        <v>0</v>
      </c>
      <c r="P439" s="672"/>
      <c r="Q439" s="729" t="e">
        <f>IF(O439="",0,P439*L439/'9b-Vloeronderhoud'!$F$6)</f>
        <v>#DIV/0!</v>
      </c>
      <c r="R439" s="449">
        <v>1</v>
      </c>
      <c r="S439" s="672" t="s">
        <v>179</v>
      </c>
      <c r="T439" s="161">
        <f t="shared" si="33"/>
        <v>0</v>
      </c>
      <c r="U439" s="162">
        <f>IF(S439="nio",0,IF(S439&gt;0,VLOOKUP(G439,'3-Productie normen'!A:K,VLOOKUP(S439,'3-Productie normen'!L:N,3,FALSE),FALSE)))</f>
        <v>0</v>
      </c>
      <c r="V439" s="162">
        <f>VLOOKUP(G439,'3-Productie normen'!A:K,10,FALSE)</f>
        <v>5262.809993648526</v>
      </c>
      <c r="W439" s="163">
        <f>VLOOKUP(G439,'3-Productie normen'!A:K,11,FALSE)</f>
        <v>0</v>
      </c>
      <c r="X439" s="163"/>
      <c r="Z439" s="129">
        <f t="shared" si="34"/>
        <v>0</v>
      </c>
    </row>
    <row r="440" spans="1:26" ht="14.1" customHeight="1">
      <c r="A440" s="144">
        <v>446</v>
      </c>
      <c r="B440" s="159" t="s">
        <v>260</v>
      </c>
      <c r="C440" s="159" t="s">
        <v>265</v>
      </c>
      <c r="D440" s="132" t="s">
        <v>98</v>
      </c>
      <c r="E440" s="702">
        <v>17</v>
      </c>
      <c r="F440" s="160" t="s">
        <v>273</v>
      </c>
      <c r="G440" s="545" t="s">
        <v>286</v>
      </c>
      <c r="H440" s="542" t="s">
        <v>100</v>
      </c>
      <c r="I440" s="582" t="str">
        <f>VLOOKUP(H440,'9a-Typen vloeren'!$A$10:$B$40,2,FALSE)</f>
        <v>Sprayen/ conserveren</v>
      </c>
      <c r="J440" s="589">
        <v>27.1</v>
      </c>
      <c r="K440" s="433">
        <f t="shared" si="30"/>
        <v>27.1</v>
      </c>
      <c r="L440" s="433">
        <f t="shared" si="31"/>
        <v>0</v>
      </c>
      <c r="M440" s="433">
        <f t="shared" si="32"/>
        <v>0</v>
      </c>
      <c r="N440" s="672">
        <v>2</v>
      </c>
      <c r="O440" s="729" t="e">
        <f>IF(N440="",0,N440*K440/'9b-Vloeronderhoud'!$F$4)</f>
        <v>#DIV/0!</v>
      </c>
      <c r="P440" s="672"/>
      <c r="Q440" s="729" t="e">
        <f>IF(O440="",0,P440*L440/'9b-Vloeronderhoud'!$F$6)</f>
        <v>#DIV/0!</v>
      </c>
      <c r="R440" s="449">
        <v>1</v>
      </c>
      <c r="S440" s="672">
        <v>120</v>
      </c>
      <c r="T440" s="161" t="e">
        <f t="shared" si="33"/>
        <v>#DIV/0!</v>
      </c>
      <c r="U440" s="162">
        <f>IF(S440="nio",0,IF(S440&gt;0,VLOOKUP(G440,'3-Productie normen'!A:K,VLOOKUP(S440,'3-Productie normen'!L:N,3,FALSE),FALSE)))</f>
        <v>0</v>
      </c>
      <c r="V440" s="162">
        <f>VLOOKUP(G440,'3-Productie normen'!A:K,10,FALSE)</f>
        <v>6152.9500017547598</v>
      </c>
      <c r="W440" s="163">
        <f>VLOOKUP(G440,'3-Productie normen'!A:K,11,FALSE)</f>
        <v>0</v>
      </c>
      <c r="X440" s="163"/>
      <c r="Z440" s="129">
        <f t="shared" si="34"/>
        <v>3252</v>
      </c>
    </row>
    <row r="441" spans="1:26" ht="14.1" customHeight="1">
      <c r="A441" s="144">
        <v>447</v>
      </c>
      <c r="B441" s="159" t="s">
        <v>260</v>
      </c>
      <c r="C441" s="159" t="s">
        <v>265</v>
      </c>
      <c r="D441" s="132" t="s">
        <v>98</v>
      </c>
      <c r="E441" s="702">
        <v>18</v>
      </c>
      <c r="F441" s="160" t="s">
        <v>274</v>
      </c>
      <c r="G441" s="550" t="s">
        <v>99</v>
      </c>
      <c r="H441" s="542" t="s">
        <v>802</v>
      </c>
      <c r="I441" s="582" t="str">
        <f>VLOOKUP(H441,'9a-Typen vloeren'!$A$10:$B$40,2,FALSE)</f>
        <v>n.v.t.</v>
      </c>
      <c r="J441" s="589">
        <v>5.6</v>
      </c>
      <c r="K441" s="433">
        <f t="shared" si="30"/>
        <v>0</v>
      </c>
      <c r="L441" s="433">
        <f t="shared" si="31"/>
        <v>0</v>
      </c>
      <c r="M441" s="433">
        <f t="shared" si="32"/>
        <v>0</v>
      </c>
      <c r="N441" s="672"/>
      <c r="O441" s="729">
        <f>IF(N441="",0,N441*K441/'9b-Vloeronderhoud'!$F$4)</f>
        <v>0</v>
      </c>
      <c r="P441" s="672"/>
      <c r="Q441" s="729" t="e">
        <f>IF(O441="",0,P441*L441/'9b-Vloeronderhoud'!$F$6)</f>
        <v>#DIV/0!</v>
      </c>
      <c r="R441" s="449">
        <v>1</v>
      </c>
      <c r="S441" s="672">
        <v>190</v>
      </c>
      <c r="T441" s="161" t="e">
        <f t="shared" si="33"/>
        <v>#DIV/0!</v>
      </c>
      <c r="U441" s="162">
        <f>IF(S441="nio",0,IF(S441&gt;0,VLOOKUP(G441,'3-Productie normen'!A:K,VLOOKUP(S441,'3-Productie normen'!L:N,3,FALSE),FALSE)))</f>
        <v>0</v>
      </c>
      <c r="V441" s="162">
        <f>VLOOKUP(G441,'3-Productie normen'!A:K,10,FALSE)</f>
        <v>726.97999910354622</v>
      </c>
      <c r="W441" s="163">
        <f>VLOOKUP(G441,'3-Productie normen'!A:K,11,FALSE)</f>
        <v>0</v>
      </c>
      <c r="X441" s="163"/>
      <c r="Z441" s="129">
        <f t="shared" si="34"/>
        <v>1064</v>
      </c>
    </row>
    <row r="442" spans="1:26" ht="14.1" customHeight="1">
      <c r="A442" s="144">
        <v>448</v>
      </c>
      <c r="B442" s="159" t="s">
        <v>260</v>
      </c>
      <c r="C442" s="159" t="s">
        <v>265</v>
      </c>
      <c r="D442" s="132" t="s">
        <v>98</v>
      </c>
      <c r="E442" s="702">
        <v>19</v>
      </c>
      <c r="F442" s="160" t="s">
        <v>275</v>
      </c>
      <c r="G442" s="122" t="s">
        <v>221</v>
      </c>
      <c r="H442" s="542" t="s">
        <v>100</v>
      </c>
      <c r="I442" s="582" t="str">
        <f>VLOOKUP(H442,'9a-Typen vloeren'!$A$10:$B$40,2,FALSE)</f>
        <v>Sprayen/ conserveren</v>
      </c>
      <c r="J442" s="589">
        <v>56.2</v>
      </c>
      <c r="K442" s="433">
        <f t="shared" si="30"/>
        <v>56.2</v>
      </c>
      <c r="L442" s="433">
        <f t="shared" si="31"/>
        <v>0</v>
      </c>
      <c r="M442" s="433">
        <f t="shared" si="32"/>
        <v>0</v>
      </c>
      <c r="N442" s="672"/>
      <c r="O442" s="729">
        <f>IF(N442="",0,N442*K442/'9b-Vloeronderhoud'!$F$4)</f>
        <v>0</v>
      </c>
      <c r="P442" s="672"/>
      <c r="Q442" s="729" t="e">
        <f>IF(O442="",0,P442*L442/'9b-Vloeronderhoud'!$F$6)</f>
        <v>#DIV/0!</v>
      </c>
      <c r="R442" s="449">
        <v>1</v>
      </c>
      <c r="S442" s="672">
        <v>80</v>
      </c>
      <c r="T442" s="161" t="e">
        <f t="shared" si="33"/>
        <v>#DIV/0!</v>
      </c>
      <c r="U442" s="162">
        <f>IF(S442="nio",0,IF(S442&gt;0,VLOOKUP(G442,'3-Productie normen'!A:K,VLOOKUP(S442,'3-Productie normen'!L:N,3,FALSE),FALSE)))</f>
        <v>0</v>
      </c>
      <c r="V442" s="162">
        <f>VLOOKUP(G442,'3-Productie normen'!A:K,10,FALSE)</f>
        <v>16013.110036668773</v>
      </c>
      <c r="W442" s="163">
        <f>VLOOKUP(G442,'3-Productie normen'!A:K,11,FALSE)</f>
        <v>0</v>
      </c>
      <c r="X442" s="163"/>
      <c r="Z442" s="129">
        <f t="shared" si="34"/>
        <v>4496</v>
      </c>
    </row>
    <row r="443" spans="1:26" ht="14.1" customHeight="1">
      <c r="A443" s="144">
        <v>449</v>
      </c>
      <c r="B443" s="159" t="s">
        <v>260</v>
      </c>
      <c r="C443" s="159" t="s">
        <v>265</v>
      </c>
      <c r="D443" s="132" t="s">
        <v>98</v>
      </c>
      <c r="E443" s="702">
        <v>20</v>
      </c>
      <c r="F443" s="160" t="s">
        <v>276</v>
      </c>
      <c r="G443" s="533" t="s">
        <v>221</v>
      </c>
      <c r="H443" s="542" t="s">
        <v>100</v>
      </c>
      <c r="I443" s="582" t="str">
        <f>VLOOKUP(H443,'9a-Typen vloeren'!$A$10:$B$40,2,FALSE)</f>
        <v>Sprayen/ conserveren</v>
      </c>
      <c r="J443" s="589">
        <v>56.2</v>
      </c>
      <c r="K443" s="433">
        <f t="shared" si="30"/>
        <v>56.2</v>
      </c>
      <c r="L443" s="433">
        <f t="shared" si="31"/>
        <v>0</v>
      </c>
      <c r="M443" s="433">
        <f t="shared" si="32"/>
        <v>0</v>
      </c>
      <c r="N443" s="672"/>
      <c r="O443" s="729">
        <f>IF(N443="",0,N443*K443/'9b-Vloeronderhoud'!$F$4)</f>
        <v>0</v>
      </c>
      <c r="P443" s="672"/>
      <c r="Q443" s="729" t="e">
        <f>IF(O443="",0,P443*L443/'9b-Vloeronderhoud'!$F$6)</f>
        <v>#DIV/0!</v>
      </c>
      <c r="R443" s="449">
        <v>1</v>
      </c>
      <c r="S443" s="672">
        <v>80</v>
      </c>
      <c r="T443" s="161" t="e">
        <f t="shared" si="33"/>
        <v>#DIV/0!</v>
      </c>
      <c r="U443" s="162">
        <f>IF(S443="nio",0,IF(S443&gt;0,VLOOKUP(G443,'3-Productie normen'!A:K,VLOOKUP(S443,'3-Productie normen'!L:N,3,FALSE),FALSE)))</f>
        <v>0</v>
      </c>
      <c r="V443" s="162">
        <f>VLOOKUP(G443,'3-Productie normen'!A:K,10,FALSE)</f>
        <v>16013.110036668773</v>
      </c>
      <c r="W443" s="163">
        <f>VLOOKUP(G443,'3-Productie normen'!A:K,11,FALSE)</f>
        <v>0</v>
      </c>
      <c r="X443" s="163"/>
      <c r="Z443" s="129">
        <f t="shared" si="34"/>
        <v>4496</v>
      </c>
    </row>
    <row r="444" spans="1:26" ht="14.1" customHeight="1">
      <c r="A444" s="144">
        <v>450</v>
      </c>
      <c r="B444" s="159" t="s">
        <v>260</v>
      </c>
      <c r="C444" s="159" t="s">
        <v>265</v>
      </c>
      <c r="D444" s="132" t="s">
        <v>98</v>
      </c>
      <c r="E444" s="702">
        <v>21</v>
      </c>
      <c r="F444" s="166" t="s">
        <v>288</v>
      </c>
      <c r="G444" s="533" t="s">
        <v>862</v>
      </c>
      <c r="H444" s="542" t="s">
        <v>100</v>
      </c>
      <c r="I444" s="582" t="str">
        <f>VLOOKUP(H444,'9a-Typen vloeren'!$A$10:$B$40,2,FALSE)</f>
        <v>Sprayen/ conserveren</v>
      </c>
      <c r="J444" s="589">
        <v>123.4</v>
      </c>
      <c r="K444" s="433">
        <f t="shared" si="30"/>
        <v>123.4</v>
      </c>
      <c r="L444" s="433">
        <f t="shared" si="31"/>
        <v>0</v>
      </c>
      <c r="M444" s="433">
        <f t="shared" si="32"/>
        <v>0</v>
      </c>
      <c r="N444" s="672">
        <v>2</v>
      </c>
      <c r="O444" s="729" t="e">
        <f>IF(N444="",0,N444*K444/'9b-Vloeronderhoud'!$F$4)</f>
        <v>#DIV/0!</v>
      </c>
      <c r="P444" s="672"/>
      <c r="Q444" s="729" t="e">
        <f>IF(O444="",0,P444*L444/'9b-Vloeronderhoud'!$F$6)</f>
        <v>#DIV/0!</v>
      </c>
      <c r="R444" s="449">
        <v>1</v>
      </c>
      <c r="S444" s="672">
        <v>120</v>
      </c>
      <c r="T444" s="161" t="e">
        <f t="shared" si="33"/>
        <v>#DIV/0!</v>
      </c>
      <c r="U444" s="162">
        <f>IF(S444="nio",0,IF(S444&gt;0,VLOOKUP(G444,'3-Productie normen'!A:K,VLOOKUP(S444,'3-Productie normen'!L:N,3,FALSE),FALSE)))</f>
        <v>0</v>
      </c>
      <c r="V444" s="162">
        <f>VLOOKUP(G444,'3-Productie normen'!A:K,10,FALSE)</f>
        <v>4374.9900215911857</v>
      </c>
      <c r="W444" s="163">
        <f>VLOOKUP(G444,'3-Productie normen'!A:K,11,FALSE)</f>
        <v>0</v>
      </c>
      <c r="X444" s="163"/>
      <c r="Z444" s="129">
        <f t="shared" si="34"/>
        <v>14808</v>
      </c>
    </row>
    <row r="445" spans="1:26" ht="14.1" customHeight="1">
      <c r="A445" s="144">
        <v>451</v>
      </c>
      <c r="B445" s="159" t="s">
        <v>260</v>
      </c>
      <c r="C445" s="159" t="s">
        <v>265</v>
      </c>
      <c r="D445" s="132" t="s">
        <v>98</v>
      </c>
      <c r="E445" s="702">
        <v>22</v>
      </c>
      <c r="F445" s="160" t="s">
        <v>289</v>
      </c>
      <c r="G445" s="546" t="s">
        <v>189</v>
      </c>
      <c r="H445" s="542" t="s">
        <v>100</v>
      </c>
      <c r="I445" s="582" t="str">
        <f>VLOOKUP(H445,'9a-Typen vloeren'!$A$10:$B$40,2,FALSE)</f>
        <v>Sprayen/ conserveren</v>
      </c>
      <c r="J445" s="589">
        <v>21.5</v>
      </c>
      <c r="K445" s="433">
        <f t="shared" si="30"/>
        <v>21.5</v>
      </c>
      <c r="L445" s="433">
        <f t="shared" si="31"/>
        <v>0</v>
      </c>
      <c r="M445" s="433">
        <f t="shared" si="32"/>
        <v>0</v>
      </c>
      <c r="N445" s="672"/>
      <c r="O445" s="729">
        <f>IF(N445="",0,N445*K445/'9b-Vloeronderhoud'!$F$4)</f>
        <v>0</v>
      </c>
      <c r="P445" s="672"/>
      <c r="Q445" s="729" t="e">
        <f>IF(O445="",0,P445*L445/'9b-Vloeronderhoud'!$F$6)</f>
        <v>#DIV/0!</v>
      </c>
      <c r="R445" s="449">
        <v>1</v>
      </c>
      <c r="S445" s="672">
        <v>40</v>
      </c>
      <c r="T445" s="161" t="e">
        <f t="shared" si="33"/>
        <v>#DIV/0!</v>
      </c>
      <c r="U445" s="162">
        <f>IF(S445="nio",0,IF(S445&gt;0,VLOOKUP(G445,'3-Productie normen'!A:K,VLOOKUP(S445,'3-Productie normen'!L:N,3,FALSE),FALSE)))</f>
        <v>0</v>
      </c>
      <c r="V445" s="162">
        <f>VLOOKUP(G445,'3-Productie normen'!A:K,10,FALSE)</f>
        <v>1494.1700078582762</v>
      </c>
      <c r="W445" s="163">
        <f>VLOOKUP(G445,'3-Productie normen'!A:K,11,FALSE)</f>
        <v>0</v>
      </c>
      <c r="X445" s="163"/>
      <c r="Z445" s="129">
        <f t="shared" si="34"/>
        <v>860</v>
      </c>
    </row>
    <row r="446" spans="1:26" ht="14.1" customHeight="1">
      <c r="A446" s="144">
        <v>452</v>
      </c>
      <c r="B446" s="159" t="s">
        <v>260</v>
      </c>
      <c r="C446" s="159" t="s">
        <v>265</v>
      </c>
      <c r="D446" s="132" t="s">
        <v>98</v>
      </c>
      <c r="E446" s="702">
        <v>23</v>
      </c>
      <c r="F446" s="160" t="s">
        <v>290</v>
      </c>
      <c r="G446" s="546" t="s">
        <v>190</v>
      </c>
      <c r="H446" s="542" t="s">
        <v>101</v>
      </c>
      <c r="I446" s="582" t="str">
        <f>VLOOKUP(H446,'9a-Typen vloeren'!$A$10:$B$40,2,FALSE)</f>
        <v>Schrobben</v>
      </c>
      <c r="J446" s="589">
        <v>7.5</v>
      </c>
      <c r="K446" s="433">
        <f t="shared" si="30"/>
        <v>0</v>
      </c>
      <c r="L446" s="433">
        <f t="shared" si="31"/>
        <v>7.5</v>
      </c>
      <c r="M446" s="433">
        <f t="shared" si="32"/>
        <v>0</v>
      </c>
      <c r="N446" s="672"/>
      <c r="O446" s="729">
        <f>IF(N446="",0,N446*K446/'9b-Vloeronderhoud'!$F$4)</f>
        <v>0</v>
      </c>
      <c r="P446" s="672">
        <v>3</v>
      </c>
      <c r="Q446" s="729" t="e">
        <f>IF(O446="",0,P446*L446/'9b-Vloeronderhoud'!$F$6)</f>
        <v>#DIV/0!</v>
      </c>
      <c r="R446" s="449">
        <v>1</v>
      </c>
      <c r="S446" s="672">
        <v>40</v>
      </c>
      <c r="T446" s="161" t="e">
        <f t="shared" si="33"/>
        <v>#DIV/0!</v>
      </c>
      <c r="U446" s="162">
        <f>IF(S446="nio",0,IF(S446&gt;0,VLOOKUP(G446,'3-Productie normen'!A:K,VLOOKUP(S446,'3-Productie normen'!L:N,3,FALSE),FALSE)))</f>
        <v>0</v>
      </c>
      <c r="V446" s="162">
        <f>VLOOKUP(G446,'3-Productie normen'!A:K,10,FALSE)</f>
        <v>281.65000052452086</v>
      </c>
      <c r="W446" s="163">
        <f>VLOOKUP(G446,'3-Productie normen'!A:K,11,FALSE)</f>
        <v>0</v>
      </c>
      <c r="X446" s="163"/>
      <c r="Z446" s="129">
        <f t="shared" si="34"/>
        <v>300</v>
      </c>
    </row>
    <row r="447" spans="1:26" ht="14.1" customHeight="1">
      <c r="A447" s="144">
        <v>453</v>
      </c>
      <c r="B447" s="159" t="s">
        <v>260</v>
      </c>
      <c r="C447" s="159" t="s">
        <v>265</v>
      </c>
      <c r="D447" s="132" t="s">
        <v>98</v>
      </c>
      <c r="E447" s="702">
        <v>24</v>
      </c>
      <c r="F447" s="126" t="s">
        <v>291</v>
      </c>
      <c r="G447" s="126" t="s">
        <v>18</v>
      </c>
      <c r="H447" s="534" t="s">
        <v>954</v>
      </c>
      <c r="I447" s="582" t="str">
        <f>VLOOKUP(H447,'9a-Typen vloeren'!$A$10:$B$40,2,FALSE)</f>
        <v>zie kwaliteitsontwerp</v>
      </c>
      <c r="J447" s="589">
        <v>2.2999999999999998</v>
      </c>
      <c r="K447" s="433">
        <f t="shared" si="30"/>
        <v>0</v>
      </c>
      <c r="L447" s="433">
        <f t="shared" si="31"/>
        <v>0</v>
      </c>
      <c r="M447" s="433">
        <f t="shared" si="32"/>
        <v>0</v>
      </c>
      <c r="N447" s="672"/>
      <c r="O447" s="729">
        <f>IF(N447="",0,N447*K447/'9b-Vloeronderhoud'!$F$4)</f>
        <v>0</v>
      </c>
      <c r="P447" s="672"/>
      <c r="Q447" s="729" t="e">
        <f>IF(O447="",0,P447*L447/'9b-Vloeronderhoud'!$F$6)</f>
        <v>#DIV/0!</v>
      </c>
      <c r="R447" s="449">
        <v>1</v>
      </c>
      <c r="S447" s="672">
        <v>190</v>
      </c>
      <c r="T447" s="161" t="e">
        <f t="shared" si="33"/>
        <v>#DIV/0!</v>
      </c>
      <c r="U447" s="162">
        <f>IF(S447="nio",0,IF(S447&gt;0,VLOOKUP(G447,'3-Productie normen'!A:K,VLOOKUP(S447,'3-Productie normen'!L:N,3,FALSE),FALSE)))</f>
        <v>0</v>
      </c>
      <c r="V447" s="162">
        <f>VLOOKUP(G447,'3-Productie normen'!A:K,10,FALSE)</f>
        <v>1859.5880019121171</v>
      </c>
      <c r="W447" s="163">
        <f>VLOOKUP(G447,'3-Productie normen'!A:K,11,FALSE)</f>
        <v>0</v>
      </c>
      <c r="X447" s="163"/>
      <c r="Z447" s="129">
        <f t="shared" si="34"/>
        <v>436.99999999999994</v>
      </c>
    </row>
    <row r="448" spans="1:26" ht="14.1" customHeight="1">
      <c r="A448" s="144">
        <v>454</v>
      </c>
      <c r="B448" s="159" t="s">
        <v>260</v>
      </c>
      <c r="C448" s="159" t="s">
        <v>265</v>
      </c>
      <c r="D448" s="132" t="s">
        <v>98</v>
      </c>
      <c r="E448" s="702">
        <v>25</v>
      </c>
      <c r="F448" s="126" t="s">
        <v>292</v>
      </c>
      <c r="G448" s="460" t="s">
        <v>881</v>
      </c>
      <c r="H448" s="542" t="s">
        <v>100</v>
      </c>
      <c r="I448" s="582" t="str">
        <f>VLOOKUP(H448,'9a-Typen vloeren'!$A$10:$B$40,2,FALSE)</f>
        <v>Sprayen/ conserveren</v>
      </c>
      <c r="J448" s="589">
        <v>9.6</v>
      </c>
      <c r="K448" s="433">
        <f t="shared" si="30"/>
        <v>0</v>
      </c>
      <c r="L448" s="433">
        <f t="shared" si="31"/>
        <v>0</v>
      </c>
      <c r="M448" s="433">
        <f t="shared" si="32"/>
        <v>0</v>
      </c>
      <c r="N448" s="672"/>
      <c r="O448" s="729">
        <f>IF(N448="",0,N448*K448/'9b-Vloeronderhoud'!$F$4)</f>
        <v>0</v>
      </c>
      <c r="P448" s="672"/>
      <c r="Q448" s="729" t="e">
        <f>IF(O448="",0,P448*L448/'9b-Vloeronderhoud'!$F$6)</f>
        <v>#DIV/0!</v>
      </c>
      <c r="R448" s="449">
        <v>1</v>
      </c>
      <c r="S448" s="672" t="s">
        <v>179</v>
      </c>
      <c r="T448" s="161">
        <f t="shared" si="33"/>
        <v>0</v>
      </c>
      <c r="U448" s="162">
        <f>IF(S448="nio",0,IF(S448&gt;0,VLOOKUP(G448,'3-Productie normen'!A:K,VLOOKUP(S448,'3-Productie normen'!L:N,3,FALSE),FALSE)))</f>
        <v>0</v>
      </c>
      <c r="V448" s="162">
        <f>VLOOKUP(G448,'3-Productie normen'!A:K,10,FALSE)</f>
        <v>5262.809993648526</v>
      </c>
      <c r="W448" s="163">
        <f>VLOOKUP(G448,'3-Productie normen'!A:K,11,FALSE)</f>
        <v>0</v>
      </c>
      <c r="X448" s="163"/>
      <c r="Z448" s="129">
        <f t="shared" si="34"/>
        <v>0</v>
      </c>
    </row>
    <row r="449" spans="1:26" ht="14.1" customHeight="1">
      <c r="A449" s="144">
        <v>455</v>
      </c>
      <c r="B449" s="159" t="s">
        <v>260</v>
      </c>
      <c r="C449" s="159" t="s">
        <v>265</v>
      </c>
      <c r="D449" s="132" t="s">
        <v>98</v>
      </c>
      <c r="E449" s="702">
        <v>26</v>
      </c>
      <c r="F449" s="126" t="s">
        <v>293</v>
      </c>
      <c r="G449" s="547" t="s">
        <v>221</v>
      </c>
      <c r="H449" s="542" t="s">
        <v>100</v>
      </c>
      <c r="I449" s="582" t="str">
        <f>VLOOKUP(H449,'9a-Typen vloeren'!$A$10:$B$40,2,FALSE)</f>
        <v>Sprayen/ conserveren</v>
      </c>
      <c r="J449" s="589">
        <v>57.8</v>
      </c>
      <c r="K449" s="433">
        <f t="shared" si="30"/>
        <v>57.8</v>
      </c>
      <c r="L449" s="433">
        <f t="shared" si="31"/>
        <v>0</v>
      </c>
      <c r="M449" s="433">
        <f t="shared" si="32"/>
        <v>0</v>
      </c>
      <c r="N449" s="672"/>
      <c r="O449" s="729">
        <f>IF(N449="",0,N449*K449/'9b-Vloeronderhoud'!$F$4)</f>
        <v>0</v>
      </c>
      <c r="P449" s="672"/>
      <c r="Q449" s="729" t="e">
        <f>IF(O449="",0,P449*L449/'9b-Vloeronderhoud'!$F$6)</f>
        <v>#DIV/0!</v>
      </c>
      <c r="R449" s="449">
        <v>1</v>
      </c>
      <c r="S449" s="672">
        <v>80</v>
      </c>
      <c r="T449" s="161" t="e">
        <f t="shared" si="33"/>
        <v>#DIV/0!</v>
      </c>
      <c r="U449" s="162">
        <f>IF(S449="nio",0,IF(S449&gt;0,VLOOKUP(G449,'3-Productie normen'!A:K,VLOOKUP(S449,'3-Productie normen'!L:N,3,FALSE),FALSE)))</f>
        <v>0</v>
      </c>
      <c r="V449" s="162">
        <f>VLOOKUP(G449,'3-Productie normen'!A:K,10,FALSE)</f>
        <v>16013.110036668773</v>
      </c>
      <c r="W449" s="163">
        <f>VLOOKUP(G449,'3-Productie normen'!A:K,11,FALSE)</f>
        <v>0</v>
      </c>
      <c r="X449" s="163"/>
      <c r="Z449" s="129">
        <f t="shared" si="34"/>
        <v>4624</v>
      </c>
    </row>
    <row r="450" spans="1:26" ht="14.1" customHeight="1">
      <c r="A450" s="144">
        <v>456</v>
      </c>
      <c r="B450" s="159" t="s">
        <v>260</v>
      </c>
      <c r="C450" s="159" t="s">
        <v>265</v>
      </c>
      <c r="D450" s="132" t="s">
        <v>98</v>
      </c>
      <c r="E450" s="702"/>
      <c r="F450" s="126" t="s">
        <v>763</v>
      </c>
      <c r="G450" s="122" t="s">
        <v>221</v>
      </c>
      <c r="H450" s="537" t="s">
        <v>100</v>
      </c>
      <c r="I450" s="582" t="str">
        <f>VLOOKUP(H450,'9a-Typen vloeren'!$A$10:$B$40,2,FALSE)</f>
        <v>Sprayen/ conserveren</v>
      </c>
      <c r="J450" s="589">
        <v>95.6</v>
      </c>
      <c r="K450" s="433">
        <f t="shared" si="30"/>
        <v>95.6</v>
      </c>
      <c r="L450" s="433">
        <f t="shared" si="31"/>
        <v>0</v>
      </c>
      <c r="M450" s="433">
        <f t="shared" si="32"/>
        <v>0</v>
      </c>
      <c r="N450" s="672"/>
      <c r="O450" s="729">
        <f>IF(N450="",0,N450*K450/'9b-Vloeronderhoud'!$F$4)</f>
        <v>0</v>
      </c>
      <c r="P450" s="672"/>
      <c r="Q450" s="729" t="e">
        <f>IF(O450="",0,P450*L450/'9b-Vloeronderhoud'!$F$6)</f>
        <v>#DIV/0!</v>
      </c>
      <c r="R450" s="449">
        <v>1</v>
      </c>
      <c r="S450" s="672">
        <v>80</v>
      </c>
      <c r="T450" s="161" t="e">
        <f t="shared" si="33"/>
        <v>#DIV/0!</v>
      </c>
      <c r="U450" s="162">
        <f>IF(S450="nio",0,IF(S450&gt;0,VLOOKUP(G450,'3-Productie normen'!A:K,VLOOKUP(S450,'3-Productie normen'!L:N,3,FALSE),FALSE)))</f>
        <v>0</v>
      </c>
      <c r="V450" s="162">
        <f>VLOOKUP(G450,'3-Productie normen'!A:K,10,FALSE)</f>
        <v>16013.110036668773</v>
      </c>
      <c r="W450" s="163">
        <f>VLOOKUP(G450,'3-Productie normen'!A:K,11,FALSE)</f>
        <v>0</v>
      </c>
      <c r="X450" s="163"/>
      <c r="Z450" s="129">
        <f t="shared" si="34"/>
        <v>7648</v>
      </c>
    </row>
    <row r="451" spans="1:26" ht="14.1" customHeight="1">
      <c r="A451" s="144">
        <v>457</v>
      </c>
      <c r="B451" s="159" t="s">
        <v>260</v>
      </c>
      <c r="C451" s="159" t="s">
        <v>265</v>
      </c>
      <c r="D451" s="132" t="s">
        <v>98</v>
      </c>
      <c r="E451" s="702"/>
      <c r="F451" s="126" t="s">
        <v>925</v>
      </c>
      <c r="G451" s="546" t="s">
        <v>221</v>
      </c>
      <c r="H451" s="537" t="s">
        <v>100</v>
      </c>
      <c r="I451" s="582" t="str">
        <f>VLOOKUP(H451,'9a-Typen vloeren'!$A$10:$B$40,2,FALSE)</f>
        <v>Sprayen/ conserveren</v>
      </c>
      <c r="J451" s="589">
        <v>69.599999999999994</v>
      </c>
      <c r="K451" s="433">
        <f t="shared" si="30"/>
        <v>69.599999999999994</v>
      </c>
      <c r="L451" s="433">
        <f t="shared" si="31"/>
        <v>0</v>
      </c>
      <c r="M451" s="433">
        <f t="shared" si="32"/>
        <v>0</v>
      </c>
      <c r="N451" s="672"/>
      <c r="O451" s="729">
        <f>IF(N451="",0,N451*K451/'9b-Vloeronderhoud'!$F$4)</f>
        <v>0</v>
      </c>
      <c r="P451" s="672"/>
      <c r="Q451" s="729" t="e">
        <f>IF(O451="",0,P451*L451/'9b-Vloeronderhoud'!$F$6)</f>
        <v>#DIV/0!</v>
      </c>
      <c r="R451" s="449">
        <v>1</v>
      </c>
      <c r="S451" s="672">
        <v>80</v>
      </c>
      <c r="T451" s="161" t="e">
        <f t="shared" si="33"/>
        <v>#DIV/0!</v>
      </c>
      <c r="U451" s="162">
        <f>IF(S451="nio",0,IF(S451&gt;0,VLOOKUP(G451,'3-Productie normen'!A:K,VLOOKUP(S451,'3-Productie normen'!L:N,3,FALSE),FALSE)))</f>
        <v>0</v>
      </c>
      <c r="V451" s="162">
        <f>VLOOKUP(G451,'3-Productie normen'!A:K,10,FALSE)</f>
        <v>16013.110036668773</v>
      </c>
      <c r="W451" s="163">
        <f>VLOOKUP(G451,'3-Productie normen'!A:K,11,FALSE)</f>
        <v>0</v>
      </c>
      <c r="X451" s="163"/>
      <c r="Z451" s="129">
        <f t="shared" si="34"/>
        <v>5568</v>
      </c>
    </row>
    <row r="452" spans="1:26" ht="14.1" customHeight="1">
      <c r="A452" s="144">
        <v>458</v>
      </c>
      <c r="B452" s="159" t="s">
        <v>260</v>
      </c>
      <c r="C452" s="159" t="s">
        <v>265</v>
      </c>
      <c r="D452" s="132" t="s">
        <v>98</v>
      </c>
      <c r="E452" s="702"/>
      <c r="F452" s="126" t="s">
        <v>926</v>
      </c>
      <c r="G452" s="460" t="s">
        <v>18</v>
      </c>
      <c r="H452" s="534" t="s">
        <v>954</v>
      </c>
      <c r="I452" s="582" t="str">
        <f>VLOOKUP(H452,'9a-Typen vloeren'!$A$10:$B$40,2,FALSE)</f>
        <v>zie kwaliteitsontwerp</v>
      </c>
      <c r="J452" s="589">
        <v>8.7200000000000006</v>
      </c>
      <c r="K452" s="433">
        <f t="shared" si="30"/>
        <v>0</v>
      </c>
      <c r="L452" s="433">
        <f t="shared" si="31"/>
        <v>0</v>
      </c>
      <c r="M452" s="433">
        <f t="shared" si="32"/>
        <v>0</v>
      </c>
      <c r="N452" s="672"/>
      <c r="O452" s="729">
        <f>IF(N452="",0,N452*K452/'9b-Vloeronderhoud'!$F$4)</f>
        <v>0</v>
      </c>
      <c r="P452" s="672"/>
      <c r="Q452" s="729" t="e">
        <f>IF(O452="",0,P452*L452/'9b-Vloeronderhoud'!$F$6)</f>
        <v>#DIV/0!</v>
      </c>
      <c r="R452" s="449">
        <v>1</v>
      </c>
      <c r="S452" s="672">
        <v>190</v>
      </c>
      <c r="T452" s="161" t="e">
        <f t="shared" si="33"/>
        <v>#DIV/0!</v>
      </c>
      <c r="U452" s="162">
        <f>IF(S452="nio",0,IF(S452&gt;0,VLOOKUP(G452,'3-Productie normen'!A:K,VLOOKUP(S452,'3-Productie normen'!L:N,3,FALSE),FALSE)))</f>
        <v>0</v>
      </c>
      <c r="V452" s="162">
        <f>VLOOKUP(G452,'3-Productie normen'!A:K,10,FALSE)</f>
        <v>1859.5880019121171</v>
      </c>
      <c r="W452" s="163">
        <f>VLOOKUP(G452,'3-Productie normen'!A:K,11,FALSE)</f>
        <v>0</v>
      </c>
      <c r="X452" s="163"/>
      <c r="Z452" s="129">
        <f t="shared" si="34"/>
        <v>1656.8000000000002</v>
      </c>
    </row>
    <row r="453" spans="1:26" ht="14.1" customHeight="1">
      <c r="A453" s="144">
        <v>459</v>
      </c>
      <c r="B453" s="159" t="s">
        <v>260</v>
      </c>
      <c r="C453" s="159" t="s">
        <v>265</v>
      </c>
      <c r="D453" s="132" t="s">
        <v>98</v>
      </c>
      <c r="E453" s="702"/>
      <c r="F453" s="126" t="s">
        <v>927</v>
      </c>
      <c r="G453" s="122" t="s">
        <v>18</v>
      </c>
      <c r="H453" s="534" t="s">
        <v>954</v>
      </c>
      <c r="I453" s="582" t="str">
        <f>VLOOKUP(H453,'9a-Typen vloeren'!$A$10:$B$40,2,FALSE)</f>
        <v>zie kwaliteitsontwerp</v>
      </c>
      <c r="J453" s="589">
        <v>3.4</v>
      </c>
      <c r="K453" s="433">
        <f t="shared" ref="K453:K516" si="35">IF(G453="niet in onderhoud",0,IF(I453="sprayen/ conserveren",J453,0))</f>
        <v>0</v>
      </c>
      <c r="L453" s="433">
        <f t="shared" ref="L453:L516" si="36">IF(G453="niet in onderhoud",0,IF(I453="schrobben",J453,0))</f>
        <v>0</v>
      </c>
      <c r="M453" s="433">
        <f t="shared" ref="M453:M516" si="37">IF(G453="niet in onderhoud",0,IF(I453="Sproei/extraheren",J453,0))</f>
        <v>0</v>
      </c>
      <c r="N453" s="672"/>
      <c r="O453" s="729">
        <f>IF(N453="",0,N453*K453/'9b-Vloeronderhoud'!$F$4)</f>
        <v>0</v>
      </c>
      <c r="P453" s="672"/>
      <c r="Q453" s="729" t="e">
        <f>IF(O453="",0,P453*L453/'9b-Vloeronderhoud'!$F$6)</f>
        <v>#DIV/0!</v>
      </c>
      <c r="R453" s="449">
        <v>1</v>
      </c>
      <c r="S453" s="672">
        <v>190</v>
      </c>
      <c r="T453" s="161" t="e">
        <f t="shared" si="33"/>
        <v>#DIV/0!</v>
      </c>
      <c r="U453" s="162">
        <f>IF(S453="nio",0,IF(S453&gt;0,VLOOKUP(G453,'3-Productie normen'!A:K,VLOOKUP(S453,'3-Productie normen'!L:N,3,FALSE),FALSE)))</f>
        <v>0</v>
      </c>
      <c r="V453" s="162">
        <f>VLOOKUP(G453,'3-Productie normen'!A:K,10,FALSE)</f>
        <v>1859.5880019121171</v>
      </c>
      <c r="W453" s="163">
        <f>VLOOKUP(G453,'3-Productie normen'!A:K,11,FALSE)</f>
        <v>0</v>
      </c>
      <c r="X453" s="163"/>
      <c r="Z453" s="129">
        <f t="shared" si="34"/>
        <v>646</v>
      </c>
    </row>
    <row r="454" spans="1:26" ht="14.1" customHeight="1">
      <c r="A454" s="144">
        <v>460</v>
      </c>
      <c r="B454" s="159" t="s">
        <v>260</v>
      </c>
      <c r="C454" s="159" t="s">
        <v>265</v>
      </c>
      <c r="D454" s="132" t="s">
        <v>98</v>
      </c>
      <c r="E454" s="702"/>
      <c r="F454" s="126" t="s">
        <v>489</v>
      </c>
      <c r="G454" s="546" t="s">
        <v>99</v>
      </c>
      <c r="H454" s="537" t="s">
        <v>802</v>
      </c>
      <c r="I454" s="582" t="str">
        <f>VLOOKUP(H454,'9a-Typen vloeren'!$A$10:$B$40,2,FALSE)</f>
        <v>n.v.t.</v>
      </c>
      <c r="J454" s="589">
        <v>10.46</v>
      </c>
      <c r="K454" s="433">
        <f t="shared" si="35"/>
        <v>0</v>
      </c>
      <c r="L454" s="433">
        <f t="shared" si="36"/>
        <v>0</v>
      </c>
      <c r="M454" s="433">
        <f t="shared" si="37"/>
        <v>0</v>
      </c>
      <c r="N454" s="672"/>
      <c r="O454" s="729">
        <f>IF(N454="",0,N454*K454/'9b-Vloeronderhoud'!$F$4)</f>
        <v>0</v>
      </c>
      <c r="P454" s="672"/>
      <c r="Q454" s="729" t="e">
        <f>IF(O454="",0,P454*L454/'9b-Vloeronderhoud'!$F$6)</f>
        <v>#DIV/0!</v>
      </c>
      <c r="R454" s="449">
        <v>1</v>
      </c>
      <c r="S454" s="672">
        <v>190</v>
      </c>
      <c r="T454" s="161" t="e">
        <f t="shared" si="33"/>
        <v>#DIV/0!</v>
      </c>
      <c r="U454" s="162">
        <f>IF(S454="nio",0,IF(S454&gt;0,VLOOKUP(G454,'3-Productie normen'!A:K,VLOOKUP(S454,'3-Productie normen'!L:N,3,FALSE),FALSE)))</f>
        <v>0</v>
      </c>
      <c r="V454" s="162">
        <f>VLOOKUP(G454,'3-Productie normen'!A:K,10,FALSE)</f>
        <v>726.97999910354622</v>
      </c>
      <c r="W454" s="163">
        <f>VLOOKUP(G454,'3-Productie normen'!A:K,11,FALSE)</f>
        <v>0</v>
      </c>
      <c r="X454" s="163"/>
      <c r="Z454" s="129">
        <f t="shared" si="34"/>
        <v>1987.4</v>
      </c>
    </row>
    <row r="455" spans="1:26" ht="14.1" customHeight="1">
      <c r="A455" s="144">
        <v>461</v>
      </c>
      <c r="B455" s="159" t="s">
        <v>260</v>
      </c>
      <c r="C455" s="159" t="s">
        <v>265</v>
      </c>
      <c r="D455" s="132" t="s">
        <v>98</v>
      </c>
      <c r="E455" s="702"/>
      <c r="F455" s="126" t="s">
        <v>928</v>
      </c>
      <c r="G455" s="460" t="s">
        <v>862</v>
      </c>
      <c r="H455" s="537" t="s">
        <v>100</v>
      </c>
      <c r="I455" s="582" t="str">
        <f>VLOOKUP(H455,'9a-Typen vloeren'!$A$10:$B$40,2,FALSE)</f>
        <v>Sprayen/ conserveren</v>
      </c>
      <c r="J455" s="589">
        <v>9.6</v>
      </c>
      <c r="K455" s="433">
        <f t="shared" si="35"/>
        <v>9.6</v>
      </c>
      <c r="L455" s="433">
        <f t="shared" si="36"/>
        <v>0</v>
      </c>
      <c r="M455" s="433">
        <f t="shared" si="37"/>
        <v>0</v>
      </c>
      <c r="N455" s="672"/>
      <c r="O455" s="729">
        <f>IF(N455="",0,N455*K455/'9b-Vloeronderhoud'!$F$4)</f>
        <v>0</v>
      </c>
      <c r="P455" s="672"/>
      <c r="Q455" s="729" t="e">
        <f>IF(O455="",0,P455*L455/'9b-Vloeronderhoud'!$F$6)</f>
        <v>#DIV/0!</v>
      </c>
      <c r="R455" s="449">
        <v>1</v>
      </c>
      <c r="S455" s="672">
        <v>120</v>
      </c>
      <c r="T455" s="161" t="e">
        <f t="shared" si="33"/>
        <v>#DIV/0!</v>
      </c>
      <c r="U455" s="162">
        <f>IF(S455="nio",0,IF(S455&gt;0,VLOOKUP(G455,'3-Productie normen'!A:K,VLOOKUP(S455,'3-Productie normen'!L:N,3,FALSE),FALSE)))</f>
        <v>0</v>
      </c>
      <c r="V455" s="162">
        <f>VLOOKUP(G455,'3-Productie normen'!A:K,10,FALSE)</f>
        <v>4374.9900215911857</v>
      </c>
      <c r="W455" s="163">
        <f>VLOOKUP(G455,'3-Productie normen'!A:K,11,FALSE)</f>
        <v>0</v>
      </c>
      <c r="X455" s="163"/>
      <c r="Z455" s="129">
        <f t="shared" si="34"/>
        <v>1152</v>
      </c>
    </row>
    <row r="456" spans="1:26" ht="14.1" customHeight="1">
      <c r="A456" s="144">
        <v>462</v>
      </c>
      <c r="B456" s="159" t="s">
        <v>260</v>
      </c>
      <c r="C456" s="159" t="s">
        <v>265</v>
      </c>
      <c r="D456" s="132" t="s">
        <v>98</v>
      </c>
      <c r="E456" s="702"/>
      <c r="F456" s="126" t="s">
        <v>382</v>
      </c>
      <c r="G456" s="460" t="s">
        <v>881</v>
      </c>
      <c r="H456" s="537" t="s">
        <v>100</v>
      </c>
      <c r="I456" s="582" t="str">
        <f>VLOOKUP(H456,'9a-Typen vloeren'!$A$10:$B$40,2,FALSE)</f>
        <v>Sprayen/ conserveren</v>
      </c>
      <c r="J456" s="589">
        <v>5.7</v>
      </c>
      <c r="K456" s="433">
        <f t="shared" si="35"/>
        <v>0</v>
      </c>
      <c r="L456" s="433">
        <f t="shared" si="36"/>
        <v>0</v>
      </c>
      <c r="M456" s="433">
        <f t="shared" si="37"/>
        <v>0</v>
      </c>
      <c r="N456" s="672"/>
      <c r="O456" s="729">
        <f>IF(N456="",0,N456*K456/'9b-Vloeronderhoud'!$F$4)</f>
        <v>0</v>
      </c>
      <c r="P456" s="672"/>
      <c r="Q456" s="729" t="e">
        <f>IF(O456="",0,P456*L456/'9b-Vloeronderhoud'!$F$6)</f>
        <v>#DIV/0!</v>
      </c>
      <c r="R456" s="449">
        <v>1</v>
      </c>
      <c r="S456" s="672" t="s">
        <v>179</v>
      </c>
      <c r="T456" s="161">
        <f t="shared" si="33"/>
        <v>0</v>
      </c>
      <c r="U456" s="162">
        <f>IF(S456="nio",0,IF(S456&gt;0,VLOOKUP(G456,'3-Productie normen'!A:K,VLOOKUP(S456,'3-Productie normen'!L:N,3,FALSE),FALSE)))</f>
        <v>0</v>
      </c>
      <c r="V456" s="162">
        <f>VLOOKUP(G456,'3-Productie normen'!A:K,10,FALSE)</f>
        <v>5262.809993648526</v>
      </c>
      <c r="W456" s="163">
        <f>VLOOKUP(G456,'3-Productie normen'!A:K,11,FALSE)</f>
        <v>0</v>
      </c>
      <c r="X456" s="163"/>
      <c r="Z456" s="129">
        <f t="shared" si="34"/>
        <v>0</v>
      </c>
    </row>
    <row r="457" spans="1:26" ht="14.1" customHeight="1">
      <c r="A457" s="144">
        <v>463</v>
      </c>
      <c r="B457" s="160" t="s">
        <v>249</v>
      </c>
      <c r="C457" s="303" t="s">
        <v>740</v>
      </c>
      <c r="D457" s="304" t="s">
        <v>98</v>
      </c>
      <c r="E457" s="694" t="s">
        <v>294</v>
      </c>
      <c r="F457" s="303" t="s">
        <v>99</v>
      </c>
      <c r="G457" s="533" t="s">
        <v>99</v>
      </c>
      <c r="H457" s="303" t="s">
        <v>332</v>
      </c>
      <c r="I457" s="582" t="str">
        <f>VLOOKUP(H457,'9a-Typen vloeren'!$A$10:$B$40,2,FALSE)</f>
        <v>Sproei/extraheren</v>
      </c>
      <c r="J457" s="588">
        <v>2.0999999046325684</v>
      </c>
      <c r="K457" s="433">
        <f t="shared" si="35"/>
        <v>0</v>
      </c>
      <c r="L457" s="433">
        <f t="shared" si="36"/>
        <v>0</v>
      </c>
      <c r="M457" s="433">
        <f t="shared" si="37"/>
        <v>2.0999999046325684</v>
      </c>
      <c r="N457" s="672"/>
      <c r="O457" s="729">
        <f>IF(N457="",0,N457*K457/'9b-Vloeronderhoud'!$F$4)</f>
        <v>0</v>
      </c>
      <c r="P457" s="672"/>
      <c r="Q457" s="729" t="e">
        <f>IF(O457="",0,P457*L457/'9b-Vloeronderhoud'!$F$6)</f>
        <v>#DIV/0!</v>
      </c>
      <c r="R457" s="449">
        <v>1</v>
      </c>
      <c r="S457" s="672">
        <v>190</v>
      </c>
      <c r="T457" s="161" t="e">
        <f t="shared" si="33"/>
        <v>#DIV/0!</v>
      </c>
      <c r="U457" s="162">
        <f>IF(S457="nio",0,IF(S457&gt;0,VLOOKUP(G457,'3-Productie normen'!A:K,VLOOKUP(S457,'3-Productie normen'!L:N,3,FALSE),FALSE)))</f>
        <v>0</v>
      </c>
      <c r="V457" s="162">
        <f>VLOOKUP(G457,'3-Productie normen'!A:K,10,FALSE)</f>
        <v>726.97999910354622</v>
      </c>
      <c r="W457" s="163">
        <f>VLOOKUP(G457,'3-Productie normen'!A:K,11,FALSE)</f>
        <v>0</v>
      </c>
      <c r="X457" s="163"/>
      <c r="Z457" s="129">
        <f t="shared" si="34"/>
        <v>398.99998188018799</v>
      </c>
    </row>
    <row r="458" spans="1:26" ht="14.1" customHeight="1">
      <c r="A458" s="144">
        <v>464</v>
      </c>
      <c r="B458" s="160" t="s">
        <v>249</v>
      </c>
      <c r="C458" s="303" t="s">
        <v>740</v>
      </c>
      <c r="D458" s="304" t="s">
        <v>98</v>
      </c>
      <c r="E458" s="694" t="s">
        <v>295</v>
      </c>
      <c r="F458" s="303" t="s">
        <v>866</v>
      </c>
      <c r="G458" s="172" t="s">
        <v>286</v>
      </c>
      <c r="H458" s="534" t="s">
        <v>100</v>
      </c>
      <c r="I458" s="582" t="str">
        <f>VLOOKUP(H458,'9a-Typen vloeren'!$A$10:$B$40,2,FALSE)</f>
        <v>Sprayen/ conserveren</v>
      </c>
      <c r="J458" s="588">
        <v>74</v>
      </c>
      <c r="K458" s="433">
        <f t="shared" si="35"/>
        <v>74</v>
      </c>
      <c r="L458" s="433">
        <f t="shared" si="36"/>
        <v>0</v>
      </c>
      <c r="M458" s="433">
        <f t="shared" si="37"/>
        <v>0</v>
      </c>
      <c r="N458" s="672">
        <v>2</v>
      </c>
      <c r="O458" s="729" t="e">
        <f>IF(N458="",0,N458*K458/'9b-Vloeronderhoud'!$F$4)</f>
        <v>#DIV/0!</v>
      </c>
      <c r="P458" s="672"/>
      <c r="Q458" s="729" t="e">
        <f>IF(O458="",0,P458*L458/'9b-Vloeronderhoud'!$F$6)</f>
        <v>#DIV/0!</v>
      </c>
      <c r="R458" s="449">
        <v>1</v>
      </c>
      <c r="S458" s="672">
        <v>120</v>
      </c>
      <c r="T458" s="161" t="e">
        <f t="shared" ref="T458:T521" si="38">IF(S458="nio",0,IF(S458&gt;0,S458*J458/U458,0))*R458</f>
        <v>#DIV/0!</v>
      </c>
      <c r="U458" s="162">
        <f>IF(S458="nio",0,IF(S458&gt;0,VLOOKUP(G458,'3-Productie normen'!A:K,VLOOKUP(S458,'3-Productie normen'!L:N,3,FALSE),FALSE)))</f>
        <v>0</v>
      </c>
      <c r="V458" s="162">
        <f>VLOOKUP(G458,'3-Productie normen'!A:K,10,FALSE)</f>
        <v>6152.9500017547598</v>
      </c>
      <c r="W458" s="163">
        <f>VLOOKUP(G458,'3-Productie normen'!A:K,11,FALSE)</f>
        <v>0</v>
      </c>
      <c r="X458" s="163"/>
      <c r="Z458" s="129">
        <f t="shared" ref="Z458:Z521" si="39">SUM(S458:S458)*J458</f>
        <v>8880</v>
      </c>
    </row>
    <row r="459" spans="1:26" ht="14.1" customHeight="1">
      <c r="A459" s="144">
        <v>465</v>
      </c>
      <c r="B459" s="160" t="s">
        <v>249</v>
      </c>
      <c r="C459" s="303" t="s">
        <v>740</v>
      </c>
      <c r="D459" s="304" t="s">
        <v>98</v>
      </c>
      <c r="E459" s="694" t="s">
        <v>296</v>
      </c>
      <c r="F459" s="303" t="s">
        <v>288</v>
      </c>
      <c r="G459" s="4" t="s">
        <v>862</v>
      </c>
      <c r="H459" s="534" t="s">
        <v>100</v>
      </c>
      <c r="I459" s="582" t="str">
        <f>VLOOKUP(H459,'9a-Typen vloeren'!$A$10:$B$40,2,FALSE)</f>
        <v>Sprayen/ conserveren</v>
      </c>
      <c r="J459" s="588">
        <v>141.35000610351563</v>
      </c>
      <c r="K459" s="433">
        <f t="shared" si="35"/>
        <v>141.35000610351563</v>
      </c>
      <c r="L459" s="433">
        <f t="shared" si="36"/>
        <v>0</v>
      </c>
      <c r="M459" s="433">
        <f t="shared" si="37"/>
        <v>0</v>
      </c>
      <c r="N459" s="672">
        <v>2</v>
      </c>
      <c r="O459" s="729" t="e">
        <f>IF(N459="",0,N459*K459/'9b-Vloeronderhoud'!$F$4)</f>
        <v>#DIV/0!</v>
      </c>
      <c r="P459" s="672"/>
      <c r="Q459" s="729" t="e">
        <f>IF(O459="",0,P459*L459/'9b-Vloeronderhoud'!$F$6)</f>
        <v>#DIV/0!</v>
      </c>
      <c r="R459" s="449">
        <v>1</v>
      </c>
      <c r="S459" s="672">
        <v>120</v>
      </c>
      <c r="T459" s="161" t="e">
        <f t="shared" si="38"/>
        <v>#DIV/0!</v>
      </c>
      <c r="U459" s="162">
        <f>IF(S459="nio",0,IF(S459&gt;0,VLOOKUP(G459,'3-Productie normen'!A:K,VLOOKUP(S459,'3-Productie normen'!L:N,3,FALSE),FALSE)))</f>
        <v>0</v>
      </c>
      <c r="V459" s="162">
        <f>VLOOKUP(G459,'3-Productie normen'!A:K,10,FALSE)</f>
        <v>4374.9900215911857</v>
      </c>
      <c r="W459" s="163">
        <f>VLOOKUP(G459,'3-Productie normen'!A:K,11,FALSE)</f>
        <v>0</v>
      </c>
      <c r="X459" s="163"/>
      <c r="Z459" s="129">
        <f t="shared" si="39"/>
        <v>16962.000732421875</v>
      </c>
    </row>
    <row r="460" spans="1:26" ht="14.1" customHeight="1">
      <c r="A460" s="144">
        <v>466</v>
      </c>
      <c r="B460" s="160" t="s">
        <v>249</v>
      </c>
      <c r="C460" s="303" t="s">
        <v>740</v>
      </c>
      <c r="D460" s="304" t="s">
        <v>98</v>
      </c>
      <c r="E460" s="694" t="s">
        <v>298</v>
      </c>
      <c r="F460" s="303" t="s">
        <v>283</v>
      </c>
      <c r="G460" s="533" t="s">
        <v>286</v>
      </c>
      <c r="H460" s="534" t="s">
        <v>100</v>
      </c>
      <c r="I460" s="582" t="str">
        <f>VLOOKUP(H460,'9a-Typen vloeren'!$A$10:$B$40,2,FALSE)</f>
        <v>Sprayen/ conserveren</v>
      </c>
      <c r="J460" s="588">
        <v>70</v>
      </c>
      <c r="K460" s="433">
        <f t="shared" si="35"/>
        <v>70</v>
      </c>
      <c r="L460" s="433">
        <f t="shared" si="36"/>
        <v>0</v>
      </c>
      <c r="M460" s="433">
        <f t="shared" si="37"/>
        <v>0</v>
      </c>
      <c r="N460" s="672">
        <v>2</v>
      </c>
      <c r="O460" s="729" t="e">
        <f>IF(N460="",0,N460*K460/'9b-Vloeronderhoud'!$F$4)</f>
        <v>#DIV/0!</v>
      </c>
      <c r="P460" s="672"/>
      <c r="Q460" s="729" t="e">
        <f>IF(O460="",0,P460*L460/'9b-Vloeronderhoud'!$F$6)</f>
        <v>#DIV/0!</v>
      </c>
      <c r="R460" s="449">
        <v>1</v>
      </c>
      <c r="S460" s="672">
        <v>120</v>
      </c>
      <c r="T460" s="161" t="e">
        <f t="shared" si="38"/>
        <v>#DIV/0!</v>
      </c>
      <c r="U460" s="162">
        <f>IF(S460="nio",0,IF(S460&gt;0,VLOOKUP(G460,'3-Productie normen'!A:K,VLOOKUP(S460,'3-Productie normen'!L:N,3,FALSE),FALSE)))</f>
        <v>0</v>
      </c>
      <c r="V460" s="162">
        <f>VLOOKUP(G460,'3-Productie normen'!A:K,10,FALSE)</f>
        <v>6152.9500017547598</v>
      </c>
      <c r="W460" s="163">
        <f>VLOOKUP(G460,'3-Productie normen'!A:K,11,FALSE)</f>
        <v>0</v>
      </c>
      <c r="X460" s="163"/>
      <c r="Z460" s="129">
        <f t="shared" si="39"/>
        <v>8400</v>
      </c>
    </row>
    <row r="461" spans="1:26" ht="14.1" customHeight="1">
      <c r="A461" s="144">
        <v>467</v>
      </c>
      <c r="B461" s="160" t="s">
        <v>249</v>
      </c>
      <c r="C461" s="303" t="s">
        <v>740</v>
      </c>
      <c r="D461" s="304" t="s">
        <v>98</v>
      </c>
      <c r="E461" s="694" t="s">
        <v>298</v>
      </c>
      <c r="F461" s="303" t="s">
        <v>99</v>
      </c>
      <c r="G461" s="4" t="s">
        <v>99</v>
      </c>
      <c r="H461" s="303" t="s">
        <v>332</v>
      </c>
      <c r="I461" s="582" t="str">
        <f>VLOOKUP(H461,'9a-Typen vloeren'!$A$10:$B$40,2,FALSE)</f>
        <v>Sproei/extraheren</v>
      </c>
      <c r="J461" s="588">
        <v>4</v>
      </c>
      <c r="K461" s="433">
        <f t="shared" si="35"/>
        <v>0</v>
      </c>
      <c r="L461" s="433">
        <f t="shared" si="36"/>
        <v>0</v>
      </c>
      <c r="M461" s="433">
        <f t="shared" si="37"/>
        <v>4</v>
      </c>
      <c r="N461" s="672"/>
      <c r="O461" s="729">
        <f>IF(N461="",0,N461*K461/'9b-Vloeronderhoud'!$F$4)</f>
        <v>0</v>
      </c>
      <c r="P461" s="672"/>
      <c r="Q461" s="729" t="e">
        <f>IF(O461="",0,P461*L461/'9b-Vloeronderhoud'!$F$6)</f>
        <v>#DIV/0!</v>
      </c>
      <c r="R461" s="449">
        <v>1</v>
      </c>
      <c r="S461" s="672">
        <v>190</v>
      </c>
      <c r="T461" s="161" t="e">
        <f t="shared" si="38"/>
        <v>#DIV/0!</v>
      </c>
      <c r="U461" s="162">
        <f>IF(S461="nio",0,IF(S461&gt;0,VLOOKUP(G461,'3-Productie normen'!A:K,VLOOKUP(S461,'3-Productie normen'!L:N,3,FALSE),FALSE)))</f>
        <v>0</v>
      </c>
      <c r="V461" s="162">
        <f>VLOOKUP(G461,'3-Productie normen'!A:K,10,FALSE)</f>
        <v>726.97999910354622</v>
      </c>
      <c r="W461" s="163">
        <f>VLOOKUP(G461,'3-Productie normen'!A:K,11,FALSE)</f>
        <v>0</v>
      </c>
      <c r="X461" s="163"/>
      <c r="Z461" s="129">
        <f t="shared" si="39"/>
        <v>760</v>
      </c>
    </row>
    <row r="462" spans="1:26" ht="14.1" customHeight="1">
      <c r="A462" s="144">
        <v>468</v>
      </c>
      <c r="B462" s="160" t="s">
        <v>249</v>
      </c>
      <c r="C462" s="303" t="s">
        <v>740</v>
      </c>
      <c r="D462" s="304" t="s">
        <v>98</v>
      </c>
      <c r="E462" s="694" t="s">
        <v>301</v>
      </c>
      <c r="F462" s="303" t="s">
        <v>99</v>
      </c>
      <c r="G462" s="122" t="s">
        <v>99</v>
      </c>
      <c r="H462" s="303" t="s">
        <v>332</v>
      </c>
      <c r="I462" s="582" t="str">
        <f>VLOOKUP(H462,'9a-Typen vloeren'!$A$10:$B$40,2,FALSE)</f>
        <v>Sproei/extraheren</v>
      </c>
      <c r="J462" s="588">
        <v>6</v>
      </c>
      <c r="K462" s="433">
        <f t="shared" si="35"/>
        <v>0</v>
      </c>
      <c r="L462" s="433">
        <f t="shared" si="36"/>
        <v>0</v>
      </c>
      <c r="M462" s="433">
        <f t="shared" si="37"/>
        <v>6</v>
      </c>
      <c r="N462" s="672"/>
      <c r="O462" s="729">
        <f>IF(N462="",0,N462*K462/'9b-Vloeronderhoud'!$F$4)</f>
        <v>0</v>
      </c>
      <c r="P462" s="672"/>
      <c r="Q462" s="729" t="e">
        <f>IF(O462="",0,P462*L462/'9b-Vloeronderhoud'!$F$6)</f>
        <v>#DIV/0!</v>
      </c>
      <c r="R462" s="449">
        <v>1</v>
      </c>
      <c r="S462" s="672">
        <v>190</v>
      </c>
      <c r="T462" s="161" t="e">
        <f t="shared" si="38"/>
        <v>#DIV/0!</v>
      </c>
      <c r="U462" s="162">
        <f>IF(S462="nio",0,IF(S462&gt;0,VLOOKUP(G462,'3-Productie normen'!A:K,VLOOKUP(S462,'3-Productie normen'!L:N,3,FALSE),FALSE)))</f>
        <v>0</v>
      </c>
      <c r="V462" s="162">
        <f>VLOOKUP(G462,'3-Productie normen'!A:K,10,FALSE)</f>
        <v>726.97999910354622</v>
      </c>
      <c r="W462" s="163">
        <f>VLOOKUP(G462,'3-Productie normen'!A:K,11,FALSE)</f>
        <v>0</v>
      </c>
      <c r="X462" s="163"/>
      <c r="Z462" s="129">
        <f t="shared" si="39"/>
        <v>1140</v>
      </c>
    </row>
    <row r="463" spans="1:26" ht="14.1" customHeight="1">
      <c r="A463" s="144">
        <v>469</v>
      </c>
      <c r="B463" s="160" t="s">
        <v>249</v>
      </c>
      <c r="C463" s="303" t="s">
        <v>740</v>
      </c>
      <c r="D463" s="304" t="s">
        <v>98</v>
      </c>
      <c r="E463" s="694" t="s">
        <v>303</v>
      </c>
      <c r="F463" s="303" t="s">
        <v>304</v>
      </c>
      <c r="G463" s="460" t="s">
        <v>18</v>
      </c>
      <c r="H463" s="534" t="s">
        <v>954</v>
      </c>
      <c r="I463" s="582" t="str">
        <f>VLOOKUP(H463,'9a-Typen vloeren'!$A$10:$B$40,2,FALSE)</f>
        <v>zie kwaliteitsontwerp</v>
      </c>
      <c r="J463" s="588">
        <v>6.9000000953674316</v>
      </c>
      <c r="K463" s="433">
        <f t="shared" si="35"/>
        <v>0</v>
      </c>
      <c r="L463" s="433">
        <f t="shared" si="36"/>
        <v>0</v>
      </c>
      <c r="M463" s="433">
        <f t="shared" si="37"/>
        <v>0</v>
      </c>
      <c r="N463" s="672"/>
      <c r="O463" s="729">
        <f>IF(N463="",0,N463*K463/'9b-Vloeronderhoud'!$F$4)</f>
        <v>0</v>
      </c>
      <c r="P463" s="672"/>
      <c r="Q463" s="729" t="e">
        <f>IF(O463="",0,P463*L463/'9b-Vloeronderhoud'!$F$6)</f>
        <v>#DIV/0!</v>
      </c>
      <c r="R463" s="449">
        <v>1</v>
      </c>
      <c r="S463" s="672">
        <v>190</v>
      </c>
      <c r="T463" s="161" t="e">
        <f t="shared" si="38"/>
        <v>#DIV/0!</v>
      </c>
      <c r="U463" s="162">
        <f>IF(S463="nio",0,IF(S463&gt;0,VLOOKUP(G463,'3-Productie normen'!A:K,VLOOKUP(S463,'3-Productie normen'!L:N,3,FALSE),FALSE)))</f>
        <v>0</v>
      </c>
      <c r="V463" s="162">
        <f>VLOOKUP(G463,'3-Productie normen'!A:K,10,FALSE)</f>
        <v>1859.5880019121171</v>
      </c>
      <c r="W463" s="163">
        <f>VLOOKUP(G463,'3-Productie normen'!A:K,11,FALSE)</f>
        <v>0</v>
      </c>
      <c r="X463" s="163"/>
      <c r="Z463" s="129">
        <f t="shared" si="39"/>
        <v>1311.000018119812</v>
      </c>
    </row>
    <row r="464" spans="1:26" ht="14.1" customHeight="1">
      <c r="A464" s="144">
        <v>470</v>
      </c>
      <c r="B464" s="160" t="s">
        <v>249</v>
      </c>
      <c r="C464" s="303" t="s">
        <v>740</v>
      </c>
      <c r="D464" s="304" t="s">
        <v>98</v>
      </c>
      <c r="E464" s="694" t="s">
        <v>305</v>
      </c>
      <c r="F464" s="303" t="s">
        <v>302</v>
      </c>
      <c r="G464" s="303" t="s">
        <v>18</v>
      </c>
      <c r="H464" s="534" t="s">
        <v>954</v>
      </c>
      <c r="I464" s="582" t="str">
        <f>VLOOKUP(H464,'9a-Typen vloeren'!$A$10:$B$40,2,FALSE)</f>
        <v>zie kwaliteitsontwerp</v>
      </c>
      <c r="J464" s="588">
        <v>5</v>
      </c>
      <c r="K464" s="433">
        <f t="shared" si="35"/>
        <v>0</v>
      </c>
      <c r="L464" s="433">
        <f t="shared" si="36"/>
        <v>0</v>
      </c>
      <c r="M464" s="433">
        <f t="shared" si="37"/>
        <v>0</v>
      </c>
      <c r="N464" s="672"/>
      <c r="O464" s="729">
        <f>IF(N464="",0,N464*K464/'9b-Vloeronderhoud'!$F$4)</f>
        <v>0</v>
      </c>
      <c r="P464" s="672"/>
      <c r="Q464" s="729" t="e">
        <f>IF(O464="",0,P464*L464/'9b-Vloeronderhoud'!$F$6)</f>
        <v>#DIV/0!</v>
      </c>
      <c r="R464" s="449">
        <v>1</v>
      </c>
      <c r="S464" s="672">
        <v>190</v>
      </c>
      <c r="T464" s="161" t="e">
        <f t="shared" si="38"/>
        <v>#DIV/0!</v>
      </c>
      <c r="U464" s="162">
        <f>IF(S464="nio",0,IF(S464&gt;0,VLOOKUP(G464,'3-Productie normen'!A:K,VLOOKUP(S464,'3-Productie normen'!L:N,3,FALSE),FALSE)))</f>
        <v>0</v>
      </c>
      <c r="V464" s="162">
        <f>VLOOKUP(G464,'3-Productie normen'!A:K,10,FALSE)</f>
        <v>1859.5880019121171</v>
      </c>
      <c r="W464" s="163">
        <f>VLOOKUP(G464,'3-Productie normen'!A:K,11,FALSE)</f>
        <v>0</v>
      </c>
      <c r="X464" s="163"/>
      <c r="Z464" s="129">
        <f t="shared" si="39"/>
        <v>950</v>
      </c>
    </row>
    <row r="465" spans="1:26" ht="14.1" customHeight="1">
      <c r="A465" s="144">
        <v>471</v>
      </c>
      <c r="B465" s="160" t="s">
        <v>249</v>
      </c>
      <c r="C465" s="303" t="s">
        <v>740</v>
      </c>
      <c r="D465" s="304" t="s">
        <v>98</v>
      </c>
      <c r="E465" s="694" t="s">
        <v>306</v>
      </c>
      <c r="F465" s="303" t="s">
        <v>285</v>
      </c>
      <c r="G465" s="460" t="s">
        <v>285</v>
      </c>
      <c r="H465" s="534" t="s">
        <v>100</v>
      </c>
      <c r="I465" s="582" t="str">
        <f>VLOOKUP(H465,'9a-Typen vloeren'!$A$10:$B$40,2,FALSE)</f>
        <v>Sprayen/ conserveren</v>
      </c>
      <c r="J465" s="588">
        <v>58.200000762939453</v>
      </c>
      <c r="K465" s="433">
        <f t="shared" si="35"/>
        <v>58.200000762939453</v>
      </c>
      <c r="L465" s="433">
        <f t="shared" si="36"/>
        <v>0</v>
      </c>
      <c r="M465" s="433">
        <f t="shared" si="37"/>
        <v>0</v>
      </c>
      <c r="N465" s="672"/>
      <c r="O465" s="729">
        <f>IF(N465="",0,N465*K465/'9b-Vloeronderhoud'!$F$4)</f>
        <v>0</v>
      </c>
      <c r="P465" s="672"/>
      <c r="Q465" s="729" t="e">
        <f>IF(O465="",0,P465*L465/'9b-Vloeronderhoud'!$F$6)</f>
        <v>#DIV/0!</v>
      </c>
      <c r="R465" s="449">
        <v>1</v>
      </c>
      <c r="S465" s="672">
        <v>190</v>
      </c>
      <c r="T465" s="161" t="e">
        <f t="shared" si="38"/>
        <v>#DIV/0!</v>
      </c>
      <c r="U465" s="162">
        <f>IF(S465="nio",0,IF(S465&gt;0,VLOOKUP(G465,'3-Productie normen'!A:K,VLOOKUP(S465,'3-Productie normen'!L:N,3,FALSE),FALSE)))</f>
        <v>0</v>
      </c>
      <c r="V465" s="162">
        <f>VLOOKUP(G465,'3-Productie normen'!A:K,10,FALSE)</f>
        <v>3305.8200070953367</v>
      </c>
      <c r="W465" s="163">
        <f>VLOOKUP(G465,'3-Productie normen'!A:K,11,FALSE)</f>
        <v>0</v>
      </c>
      <c r="X465" s="163"/>
      <c r="Z465" s="129">
        <f t="shared" si="39"/>
        <v>11058.000144958496</v>
      </c>
    </row>
    <row r="466" spans="1:26" ht="14.1" customHeight="1">
      <c r="A466" s="144">
        <v>472</v>
      </c>
      <c r="B466" s="160" t="s">
        <v>249</v>
      </c>
      <c r="C466" s="303" t="s">
        <v>740</v>
      </c>
      <c r="D466" s="304" t="s">
        <v>98</v>
      </c>
      <c r="E466" s="694" t="s">
        <v>723</v>
      </c>
      <c r="F466" s="303" t="s">
        <v>313</v>
      </c>
      <c r="G466" s="460" t="s">
        <v>881</v>
      </c>
      <c r="H466" s="534" t="s">
        <v>100</v>
      </c>
      <c r="I466" s="582" t="str">
        <f>VLOOKUP(H466,'9a-Typen vloeren'!$A$10:$B$40,2,FALSE)</f>
        <v>Sprayen/ conserveren</v>
      </c>
      <c r="J466" s="588">
        <v>3.4000000953674316</v>
      </c>
      <c r="K466" s="433">
        <f t="shared" si="35"/>
        <v>0</v>
      </c>
      <c r="L466" s="433">
        <f t="shared" si="36"/>
        <v>0</v>
      </c>
      <c r="M466" s="433">
        <f t="shared" si="37"/>
        <v>0</v>
      </c>
      <c r="N466" s="672"/>
      <c r="O466" s="729">
        <f>IF(N466="",0,N466*K466/'9b-Vloeronderhoud'!$F$4)</f>
        <v>0</v>
      </c>
      <c r="P466" s="672"/>
      <c r="Q466" s="729" t="e">
        <f>IF(O466="",0,P466*L466/'9b-Vloeronderhoud'!$F$6)</f>
        <v>#DIV/0!</v>
      </c>
      <c r="R466" s="449">
        <v>1</v>
      </c>
      <c r="S466" s="672" t="s">
        <v>179</v>
      </c>
      <c r="T466" s="161">
        <f t="shared" si="38"/>
        <v>0</v>
      </c>
      <c r="U466" s="162">
        <f>IF(S466="nio",0,IF(S466&gt;0,VLOOKUP(G466,'3-Productie normen'!A:K,VLOOKUP(S466,'3-Productie normen'!L:N,3,FALSE),FALSE)))</f>
        <v>0</v>
      </c>
      <c r="V466" s="162">
        <f>VLOOKUP(G466,'3-Productie normen'!A:K,10,FALSE)</f>
        <v>5262.809993648526</v>
      </c>
      <c r="W466" s="163">
        <f>VLOOKUP(G466,'3-Productie normen'!A:K,11,FALSE)</f>
        <v>0</v>
      </c>
      <c r="X466" s="163"/>
      <c r="Z466" s="129">
        <f t="shared" si="39"/>
        <v>0</v>
      </c>
    </row>
    <row r="467" spans="1:26" ht="14.1" customHeight="1">
      <c r="A467" s="144">
        <v>473</v>
      </c>
      <c r="B467" s="160" t="s">
        <v>249</v>
      </c>
      <c r="C467" s="303" t="s">
        <v>740</v>
      </c>
      <c r="D467" s="304" t="s">
        <v>98</v>
      </c>
      <c r="E467" s="694" t="s">
        <v>307</v>
      </c>
      <c r="F467" s="303" t="s">
        <v>267</v>
      </c>
      <c r="G467" s="546" t="s">
        <v>18</v>
      </c>
      <c r="H467" s="534" t="s">
        <v>954</v>
      </c>
      <c r="I467" s="582" t="str">
        <f>VLOOKUP(H467,'9a-Typen vloeren'!$A$10:$B$40,2,FALSE)</f>
        <v>zie kwaliteitsontwerp</v>
      </c>
      <c r="J467" s="588">
        <v>5</v>
      </c>
      <c r="K467" s="433">
        <f t="shared" si="35"/>
        <v>0</v>
      </c>
      <c r="L467" s="433">
        <f t="shared" si="36"/>
        <v>0</v>
      </c>
      <c r="M467" s="433">
        <f t="shared" si="37"/>
        <v>0</v>
      </c>
      <c r="N467" s="672"/>
      <c r="O467" s="729">
        <f>IF(N467="",0,N467*K467/'9b-Vloeronderhoud'!$F$4)</f>
        <v>0</v>
      </c>
      <c r="P467" s="672"/>
      <c r="Q467" s="729" t="e">
        <f>IF(O467="",0,P467*L467/'9b-Vloeronderhoud'!$F$6)</f>
        <v>#DIV/0!</v>
      </c>
      <c r="R467" s="449">
        <v>1</v>
      </c>
      <c r="S467" s="672">
        <v>190</v>
      </c>
      <c r="T467" s="161" t="e">
        <f t="shared" si="38"/>
        <v>#DIV/0!</v>
      </c>
      <c r="U467" s="162">
        <f>IF(S467="nio",0,IF(S467&gt;0,VLOOKUP(G467,'3-Productie normen'!A:K,VLOOKUP(S467,'3-Productie normen'!L:N,3,FALSE),FALSE)))</f>
        <v>0</v>
      </c>
      <c r="V467" s="162">
        <f>VLOOKUP(G467,'3-Productie normen'!A:K,10,FALSE)</f>
        <v>1859.5880019121171</v>
      </c>
      <c r="W467" s="163">
        <f>VLOOKUP(G467,'3-Productie normen'!A:K,11,FALSE)</f>
        <v>0</v>
      </c>
      <c r="X467" s="163"/>
      <c r="Z467" s="129">
        <f t="shared" si="39"/>
        <v>950</v>
      </c>
    </row>
    <row r="468" spans="1:26" ht="14.1" customHeight="1">
      <c r="A468" s="144">
        <v>474</v>
      </c>
      <c r="B468" s="160" t="s">
        <v>249</v>
      </c>
      <c r="C468" s="303" t="s">
        <v>740</v>
      </c>
      <c r="D468" s="304" t="s">
        <v>98</v>
      </c>
      <c r="E468" s="694" t="s">
        <v>309</v>
      </c>
      <c r="F468" s="303" t="s">
        <v>867</v>
      </c>
      <c r="G468" s="122" t="s">
        <v>221</v>
      </c>
      <c r="H468" s="534" t="s">
        <v>100</v>
      </c>
      <c r="I468" s="582" t="str">
        <f>VLOOKUP(H468,'9a-Typen vloeren'!$A$10:$B$40,2,FALSE)</f>
        <v>Sprayen/ conserveren</v>
      </c>
      <c r="J468" s="588">
        <v>58.200000762939453</v>
      </c>
      <c r="K468" s="433">
        <f t="shared" si="35"/>
        <v>58.200000762939453</v>
      </c>
      <c r="L468" s="433">
        <f t="shared" si="36"/>
        <v>0</v>
      </c>
      <c r="M468" s="433">
        <f t="shared" si="37"/>
        <v>0</v>
      </c>
      <c r="N468" s="672"/>
      <c r="O468" s="729">
        <f>IF(N468="",0,N468*K468/'9b-Vloeronderhoud'!$F$4)</f>
        <v>0</v>
      </c>
      <c r="P468" s="672"/>
      <c r="Q468" s="729" t="e">
        <f>IF(O468="",0,P468*L468/'9b-Vloeronderhoud'!$F$6)</f>
        <v>#DIV/0!</v>
      </c>
      <c r="R468" s="449">
        <v>1</v>
      </c>
      <c r="S468" s="688" t="s">
        <v>179</v>
      </c>
      <c r="T468" s="161">
        <f t="shared" si="38"/>
        <v>0</v>
      </c>
      <c r="U468" s="162">
        <f>IF(S468="nio",0,IF(S468&gt;0,VLOOKUP(G468,'3-Productie normen'!A:K,VLOOKUP(S468,'3-Productie normen'!L:N,3,FALSE),FALSE)))</f>
        <v>0</v>
      </c>
      <c r="V468" s="162">
        <f>VLOOKUP(G468,'3-Productie normen'!A:K,10,FALSE)</f>
        <v>16013.110036668773</v>
      </c>
      <c r="W468" s="163">
        <f>VLOOKUP(G468,'3-Productie normen'!A:K,11,FALSE)</f>
        <v>0</v>
      </c>
      <c r="X468" s="163"/>
      <c r="Z468" s="129">
        <f t="shared" si="39"/>
        <v>0</v>
      </c>
    </row>
    <row r="469" spans="1:26" ht="14.1" customHeight="1">
      <c r="A469" s="144">
        <v>475</v>
      </c>
      <c r="B469" s="160" t="s">
        <v>249</v>
      </c>
      <c r="C469" s="303" t="s">
        <v>740</v>
      </c>
      <c r="D469" s="304" t="s">
        <v>98</v>
      </c>
      <c r="E469" s="694" t="s">
        <v>311</v>
      </c>
      <c r="F469" s="303" t="s">
        <v>281</v>
      </c>
      <c r="G469" s="460" t="s">
        <v>881</v>
      </c>
      <c r="H469" s="534" t="s">
        <v>375</v>
      </c>
      <c r="I469" s="582" t="str">
        <f>VLOOKUP(H469,'9a-Typen vloeren'!$A$10:$B$40,2,FALSE)</f>
        <v>n.v.t.</v>
      </c>
      <c r="J469" s="588">
        <v>2.4000000953674316</v>
      </c>
      <c r="K469" s="433">
        <f t="shared" si="35"/>
        <v>0</v>
      </c>
      <c r="L469" s="433">
        <f t="shared" si="36"/>
        <v>0</v>
      </c>
      <c r="M469" s="433">
        <f t="shared" si="37"/>
        <v>0</v>
      </c>
      <c r="N469" s="672"/>
      <c r="O469" s="729">
        <f>IF(N469="",0,N469*K469/'9b-Vloeronderhoud'!$F$4)</f>
        <v>0</v>
      </c>
      <c r="P469" s="672"/>
      <c r="Q469" s="729" t="e">
        <f>IF(O469="",0,P469*L469/'9b-Vloeronderhoud'!$F$6)</f>
        <v>#DIV/0!</v>
      </c>
      <c r="R469" s="449">
        <v>1</v>
      </c>
      <c r="S469" s="672" t="s">
        <v>179</v>
      </c>
      <c r="T469" s="161">
        <f t="shared" si="38"/>
        <v>0</v>
      </c>
      <c r="U469" s="162">
        <f>IF(S469="nio",0,IF(S469&gt;0,VLOOKUP(G469,'3-Productie normen'!A:K,VLOOKUP(S469,'3-Productie normen'!L:N,3,FALSE),FALSE)))</f>
        <v>0</v>
      </c>
      <c r="V469" s="162">
        <f>VLOOKUP(G469,'3-Productie normen'!A:K,10,FALSE)</f>
        <v>5262.809993648526</v>
      </c>
      <c r="W469" s="163">
        <f>VLOOKUP(G469,'3-Productie normen'!A:K,11,FALSE)</f>
        <v>0</v>
      </c>
      <c r="X469" s="163"/>
      <c r="Z469" s="129">
        <f t="shared" si="39"/>
        <v>0</v>
      </c>
    </row>
    <row r="470" spans="1:26" ht="14.1" customHeight="1">
      <c r="A470" s="144">
        <v>476</v>
      </c>
      <c r="B470" s="160" t="s">
        <v>249</v>
      </c>
      <c r="C470" s="303" t="s">
        <v>740</v>
      </c>
      <c r="D470" s="304" t="s">
        <v>98</v>
      </c>
      <c r="E470" s="694" t="s">
        <v>312</v>
      </c>
      <c r="F470" s="303" t="s">
        <v>282</v>
      </c>
      <c r="G470" s="460" t="s">
        <v>881</v>
      </c>
      <c r="H470" s="534" t="s">
        <v>100</v>
      </c>
      <c r="I470" s="582" t="str">
        <f>VLOOKUP(H470,'9a-Typen vloeren'!$A$10:$B$40,2,FALSE)</f>
        <v>Sprayen/ conserveren</v>
      </c>
      <c r="J470" s="588">
        <v>2.4000000953674316</v>
      </c>
      <c r="K470" s="433">
        <f t="shared" si="35"/>
        <v>0</v>
      </c>
      <c r="L470" s="433">
        <f t="shared" si="36"/>
        <v>0</v>
      </c>
      <c r="M470" s="433">
        <f t="shared" si="37"/>
        <v>0</v>
      </c>
      <c r="N470" s="672"/>
      <c r="O470" s="729">
        <f>IF(N470="",0,N470*K470/'9b-Vloeronderhoud'!$F$4)</f>
        <v>0</v>
      </c>
      <c r="P470" s="672"/>
      <c r="Q470" s="729" t="e">
        <f>IF(O470="",0,P470*L470/'9b-Vloeronderhoud'!$F$6)</f>
        <v>#DIV/0!</v>
      </c>
      <c r="R470" s="449">
        <v>1</v>
      </c>
      <c r="S470" s="672" t="s">
        <v>179</v>
      </c>
      <c r="T470" s="161">
        <f t="shared" si="38"/>
        <v>0</v>
      </c>
      <c r="U470" s="162">
        <f>IF(S470="nio",0,IF(S470&gt;0,VLOOKUP(G470,'3-Productie normen'!A:K,VLOOKUP(S470,'3-Productie normen'!L:N,3,FALSE),FALSE)))</f>
        <v>0</v>
      </c>
      <c r="V470" s="162">
        <f>VLOOKUP(G470,'3-Productie normen'!A:K,10,FALSE)</f>
        <v>5262.809993648526</v>
      </c>
      <c r="W470" s="163">
        <f>VLOOKUP(G470,'3-Productie normen'!A:K,11,FALSE)</f>
        <v>0</v>
      </c>
      <c r="X470" s="163"/>
      <c r="Z470" s="129">
        <f t="shared" si="39"/>
        <v>0</v>
      </c>
    </row>
    <row r="471" spans="1:26" ht="14.1" customHeight="1">
      <c r="A471" s="144">
        <v>477</v>
      </c>
      <c r="B471" s="160" t="s">
        <v>249</v>
      </c>
      <c r="C471" s="303" t="s">
        <v>740</v>
      </c>
      <c r="D471" s="304" t="s">
        <v>98</v>
      </c>
      <c r="E471" s="694" t="s">
        <v>314</v>
      </c>
      <c r="F471" s="303" t="s">
        <v>221</v>
      </c>
      <c r="G471" s="122" t="s">
        <v>221</v>
      </c>
      <c r="H471" s="534" t="s">
        <v>100</v>
      </c>
      <c r="I471" s="582" t="str">
        <f>VLOOKUP(H471,'9a-Typen vloeren'!$A$10:$B$40,2,FALSE)</f>
        <v>Sprayen/ conserveren</v>
      </c>
      <c r="J471" s="588">
        <v>58.200000762939453</v>
      </c>
      <c r="K471" s="433">
        <f t="shared" si="35"/>
        <v>58.200000762939453</v>
      </c>
      <c r="L471" s="433">
        <f t="shared" si="36"/>
        <v>0</v>
      </c>
      <c r="M471" s="433">
        <f t="shared" si="37"/>
        <v>0</v>
      </c>
      <c r="N471" s="672"/>
      <c r="O471" s="729">
        <f>IF(N471="",0,N471*K471/'9b-Vloeronderhoud'!$F$4)</f>
        <v>0</v>
      </c>
      <c r="P471" s="672"/>
      <c r="Q471" s="729" t="e">
        <f>IF(O471="",0,P471*L471/'9b-Vloeronderhoud'!$F$6)</f>
        <v>#DIV/0!</v>
      </c>
      <c r="R471" s="449">
        <v>1</v>
      </c>
      <c r="S471" s="688" t="s">
        <v>179</v>
      </c>
      <c r="T471" s="161">
        <f t="shared" si="38"/>
        <v>0</v>
      </c>
      <c r="U471" s="162">
        <f>IF(S471="nio",0,IF(S471&gt;0,VLOOKUP(G471,'3-Productie normen'!A:K,VLOOKUP(S471,'3-Productie normen'!L:N,3,FALSE),FALSE)))</f>
        <v>0</v>
      </c>
      <c r="V471" s="162">
        <f>VLOOKUP(G471,'3-Productie normen'!A:K,10,FALSE)</f>
        <v>16013.110036668773</v>
      </c>
      <c r="W471" s="163">
        <f>VLOOKUP(G471,'3-Productie normen'!A:K,11,FALSE)</f>
        <v>0</v>
      </c>
      <c r="X471" s="163"/>
      <c r="Z471" s="129">
        <f t="shared" si="39"/>
        <v>0</v>
      </c>
    </row>
    <row r="472" spans="1:26" ht="14.1" customHeight="1">
      <c r="A472" s="144">
        <v>478</v>
      </c>
      <c r="B472" s="160" t="s">
        <v>249</v>
      </c>
      <c r="C472" s="303" t="s">
        <v>740</v>
      </c>
      <c r="D472" s="304" t="s">
        <v>98</v>
      </c>
      <c r="E472" s="694" t="s">
        <v>518</v>
      </c>
      <c r="F472" s="303" t="s">
        <v>313</v>
      </c>
      <c r="G472" s="460" t="s">
        <v>881</v>
      </c>
      <c r="H472" s="534" t="s">
        <v>100</v>
      </c>
      <c r="I472" s="582" t="str">
        <f>VLOOKUP(H472,'9a-Typen vloeren'!$A$10:$B$40,2,FALSE)</f>
        <v>Sprayen/ conserveren</v>
      </c>
      <c r="J472" s="588">
        <v>2.4000000953674316</v>
      </c>
      <c r="K472" s="433">
        <f t="shared" si="35"/>
        <v>0</v>
      </c>
      <c r="L472" s="433">
        <f t="shared" si="36"/>
        <v>0</v>
      </c>
      <c r="M472" s="433">
        <f t="shared" si="37"/>
        <v>0</v>
      </c>
      <c r="N472" s="672"/>
      <c r="O472" s="729">
        <f>IF(N472="",0,N472*K472/'9b-Vloeronderhoud'!$F$4)</f>
        <v>0</v>
      </c>
      <c r="P472" s="672"/>
      <c r="Q472" s="729" t="e">
        <f>IF(O472="",0,P472*L472/'9b-Vloeronderhoud'!$F$6)</f>
        <v>#DIV/0!</v>
      </c>
      <c r="R472" s="449">
        <v>1</v>
      </c>
      <c r="S472" s="672" t="s">
        <v>179</v>
      </c>
      <c r="T472" s="161">
        <f t="shared" si="38"/>
        <v>0</v>
      </c>
      <c r="U472" s="162">
        <f>IF(S472="nio",0,IF(S472&gt;0,VLOOKUP(G472,'3-Productie normen'!A:K,VLOOKUP(S472,'3-Productie normen'!L:N,3,FALSE),FALSE)))</f>
        <v>0</v>
      </c>
      <c r="V472" s="162">
        <f>VLOOKUP(G472,'3-Productie normen'!A:K,10,FALSE)</f>
        <v>5262.809993648526</v>
      </c>
      <c r="W472" s="163">
        <f>VLOOKUP(G472,'3-Productie normen'!A:K,11,FALSE)</f>
        <v>0</v>
      </c>
      <c r="X472" s="163"/>
      <c r="Z472" s="129">
        <f t="shared" si="39"/>
        <v>0</v>
      </c>
    </row>
    <row r="473" spans="1:26" ht="14.1" customHeight="1">
      <c r="A473" s="144">
        <v>479</v>
      </c>
      <c r="B473" s="160" t="s">
        <v>249</v>
      </c>
      <c r="C473" s="303" t="s">
        <v>740</v>
      </c>
      <c r="D473" s="304" t="s">
        <v>98</v>
      </c>
      <c r="E473" s="694" t="s">
        <v>315</v>
      </c>
      <c r="F473" s="303" t="s">
        <v>287</v>
      </c>
      <c r="G473" s="460" t="s">
        <v>287</v>
      </c>
      <c r="H473" s="534" t="s">
        <v>378</v>
      </c>
      <c r="I473" s="582" t="str">
        <f>VLOOKUP(H473,'9a-Typen vloeren'!$A$10:$B$40,2,FALSE)</f>
        <v>n.v.t.</v>
      </c>
      <c r="J473" s="588">
        <v>2.6500000953674316</v>
      </c>
      <c r="K473" s="433">
        <f t="shared" si="35"/>
        <v>0</v>
      </c>
      <c r="L473" s="433">
        <f t="shared" si="36"/>
        <v>0</v>
      </c>
      <c r="M473" s="433">
        <f t="shared" si="37"/>
        <v>0</v>
      </c>
      <c r="N473" s="672"/>
      <c r="O473" s="729">
        <f>IF(N473="",0,N473*K473/'9b-Vloeronderhoud'!$F$4)</f>
        <v>0</v>
      </c>
      <c r="P473" s="672"/>
      <c r="Q473" s="729" t="e">
        <f>IF(O473="",0,P473*L473/'9b-Vloeronderhoud'!$F$6)</f>
        <v>#DIV/0!</v>
      </c>
      <c r="R473" s="449">
        <v>1</v>
      </c>
      <c r="S473" s="672">
        <v>80</v>
      </c>
      <c r="T473" s="161" t="e">
        <f t="shared" si="38"/>
        <v>#DIV/0!</v>
      </c>
      <c r="U473" s="162">
        <f>IF(S473="nio",0,IF(S473&gt;0,VLOOKUP(G473,'3-Productie normen'!A:K,VLOOKUP(S473,'3-Productie normen'!L:N,3,FALSE),FALSE)))</f>
        <v>0</v>
      </c>
      <c r="V473" s="162">
        <f>VLOOKUP(G473,'3-Productie normen'!A:K,10,FALSE)</f>
        <v>519.460002565384</v>
      </c>
      <c r="W473" s="163">
        <f>VLOOKUP(G473,'3-Productie normen'!A:K,11,FALSE)</f>
        <v>0</v>
      </c>
      <c r="X473" s="163"/>
      <c r="Z473" s="129">
        <f t="shared" si="39"/>
        <v>212.00000762939453</v>
      </c>
    </row>
    <row r="474" spans="1:26" ht="14.1" customHeight="1">
      <c r="A474" s="144">
        <v>480</v>
      </c>
      <c r="B474" s="160" t="s">
        <v>249</v>
      </c>
      <c r="C474" s="303" t="s">
        <v>740</v>
      </c>
      <c r="D474" s="304" t="s">
        <v>98</v>
      </c>
      <c r="E474" s="694" t="s">
        <v>317</v>
      </c>
      <c r="F474" s="303" t="s">
        <v>297</v>
      </c>
      <c r="G474" s="533" t="s">
        <v>189</v>
      </c>
      <c r="H474" s="303" t="s">
        <v>332</v>
      </c>
      <c r="I474" s="582" t="str">
        <f>VLOOKUP(H474,'9a-Typen vloeren'!$A$10:$B$40,2,FALSE)</f>
        <v>Sproei/extraheren</v>
      </c>
      <c r="J474" s="588">
        <v>16.450000762939453</v>
      </c>
      <c r="K474" s="433">
        <f t="shared" si="35"/>
        <v>0</v>
      </c>
      <c r="L474" s="433">
        <f t="shared" si="36"/>
        <v>0</v>
      </c>
      <c r="M474" s="433">
        <f t="shared" si="37"/>
        <v>16.450000762939453</v>
      </c>
      <c r="N474" s="672"/>
      <c r="O474" s="729">
        <f>IF(N474="",0,N474*K474/'9b-Vloeronderhoud'!$F$4)</f>
        <v>0</v>
      </c>
      <c r="P474" s="672"/>
      <c r="Q474" s="729" t="e">
        <f>IF(O474="",0,P474*L474/'9b-Vloeronderhoud'!$F$6)</f>
        <v>#DIV/0!</v>
      </c>
      <c r="R474" s="449">
        <v>1</v>
      </c>
      <c r="S474" s="672">
        <v>40</v>
      </c>
      <c r="T474" s="161" t="e">
        <f t="shared" si="38"/>
        <v>#DIV/0!</v>
      </c>
      <c r="U474" s="162">
        <f>IF(S474="nio",0,IF(S474&gt;0,VLOOKUP(G474,'3-Productie normen'!A:K,VLOOKUP(S474,'3-Productie normen'!L:N,3,FALSE),FALSE)))</f>
        <v>0</v>
      </c>
      <c r="V474" s="162">
        <f>VLOOKUP(G474,'3-Productie normen'!A:K,10,FALSE)</f>
        <v>1494.1700078582762</v>
      </c>
      <c r="W474" s="163">
        <f>VLOOKUP(G474,'3-Productie normen'!A:K,11,FALSE)</f>
        <v>0</v>
      </c>
      <c r="X474" s="163"/>
      <c r="Z474" s="129">
        <f t="shared" si="39"/>
        <v>658.00003051757813</v>
      </c>
    </row>
    <row r="475" spans="1:26" ht="14.1" customHeight="1">
      <c r="A475" s="144">
        <v>481</v>
      </c>
      <c r="B475" s="160" t="s">
        <v>249</v>
      </c>
      <c r="C475" s="303" t="s">
        <v>740</v>
      </c>
      <c r="D475" s="304" t="s">
        <v>98</v>
      </c>
      <c r="E475" s="694" t="s">
        <v>724</v>
      </c>
      <c r="F475" s="303" t="s">
        <v>313</v>
      </c>
      <c r="G475" s="460" t="s">
        <v>881</v>
      </c>
      <c r="H475" s="534" t="s">
        <v>100</v>
      </c>
      <c r="I475" s="582" t="str">
        <f>VLOOKUP(H475,'9a-Typen vloeren'!$A$10:$B$40,2,FALSE)</f>
        <v>Sprayen/ conserveren</v>
      </c>
      <c r="J475" s="588">
        <v>2.4000000953674316</v>
      </c>
      <c r="K475" s="433">
        <f t="shared" si="35"/>
        <v>0</v>
      </c>
      <c r="L475" s="433">
        <f t="shared" si="36"/>
        <v>0</v>
      </c>
      <c r="M475" s="433">
        <f t="shared" si="37"/>
        <v>0</v>
      </c>
      <c r="N475" s="672"/>
      <c r="O475" s="729">
        <f>IF(N475="",0,N475*K475/'9b-Vloeronderhoud'!$F$4)</f>
        <v>0</v>
      </c>
      <c r="P475" s="672"/>
      <c r="Q475" s="729" t="e">
        <f>IF(O475="",0,P475*L475/'9b-Vloeronderhoud'!$F$6)</f>
        <v>#DIV/0!</v>
      </c>
      <c r="R475" s="449">
        <v>1</v>
      </c>
      <c r="S475" s="672" t="s">
        <v>179</v>
      </c>
      <c r="T475" s="161">
        <f t="shared" si="38"/>
        <v>0</v>
      </c>
      <c r="U475" s="162">
        <f>IF(S475="nio",0,IF(S475&gt;0,VLOOKUP(G475,'3-Productie normen'!A:K,VLOOKUP(S475,'3-Productie normen'!L:N,3,FALSE),FALSE)))</f>
        <v>0</v>
      </c>
      <c r="V475" s="162">
        <f>VLOOKUP(G475,'3-Productie normen'!A:K,10,FALSE)</f>
        <v>5262.809993648526</v>
      </c>
      <c r="W475" s="163">
        <f>VLOOKUP(G475,'3-Productie normen'!A:K,11,FALSE)</f>
        <v>0</v>
      </c>
      <c r="X475" s="163"/>
      <c r="Z475" s="129">
        <f t="shared" si="39"/>
        <v>0</v>
      </c>
    </row>
    <row r="476" spans="1:26" ht="14.1" customHeight="1">
      <c r="A476" s="144">
        <v>482</v>
      </c>
      <c r="B476" s="160" t="s">
        <v>249</v>
      </c>
      <c r="C476" s="303" t="s">
        <v>740</v>
      </c>
      <c r="D476" s="304" t="s">
        <v>98</v>
      </c>
      <c r="E476" s="694" t="s">
        <v>318</v>
      </c>
      <c r="F476" s="303" t="s">
        <v>290</v>
      </c>
      <c r="G476" s="122" t="s">
        <v>190</v>
      </c>
      <c r="H476" s="534" t="s">
        <v>100</v>
      </c>
      <c r="I476" s="582" t="str">
        <f>VLOOKUP(H476,'9a-Typen vloeren'!$A$10:$B$40,2,FALSE)</f>
        <v>Sprayen/ conserveren</v>
      </c>
      <c r="J476" s="588">
        <v>3.7999999523162842</v>
      </c>
      <c r="K476" s="433">
        <f t="shared" si="35"/>
        <v>3.7999999523162842</v>
      </c>
      <c r="L476" s="433">
        <f t="shared" si="36"/>
        <v>0</v>
      </c>
      <c r="M476" s="433">
        <f t="shared" si="37"/>
        <v>0</v>
      </c>
      <c r="N476" s="672">
        <v>2</v>
      </c>
      <c r="O476" s="729" t="e">
        <f>IF(N476="",0,N476*K476/'9b-Vloeronderhoud'!$F$4)</f>
        <v>#DIV/0!</v>
      </c>
      <c r="P476" s="672"/>
      <c r="Q476" s="729" t="e">
        <f>IF(O476="",0,P476*L476/'9b-Vloeronderhoud'!$F$6)</f>
        <v>#DIV/0!</v>
      </c>
      <c r="R476" s="449">
        <v>1</v>
      </c>
      <c r="S476" s="672">
        <v>40</v>
      </c>
      <c r="T476" s="161" t="e">
        <f t="shared" si="38"/>
        <v>#DIV/0!</v>
      </c>
      <c r="U476" s="162">
        <f>IF(S476="nio",0,IF(S476&gt;0,VLOOKUP(G476,'3-Productie normen'!A:K,VLOOKUP(S476,'3-Productie normen'!L:N,3,FALSE),FALSE)))</f>
        <v>0</v>
      </c>
      <c r="V476" s="162">
        <f>VLOOKUP(G476,'3-Productie normen'!A:K,10,FALSE)</f>
        <v>281.65000052452086</v>
      </c>
      <c r="W476" s="163">
        <f>VLOOKUP(G476,'3-Productie normen'!A:K,11,FALSE)</f>
        <v>0</v>
      </c>
      <c r="X476" s="163"/>
      <c r="Z476" s="129">
        <f t="shared" si="39"/>
        <v>151.99999809265137</v>
      </c>
    </row>
    <row r="477" spans="1:26" ht="14.1" customHeight="1">
      <c r="A477" s="144">
        <v>483</v>
      </c>
      <c r="B477" s="160" t="s">
        <v>249</v>
      </c>
      <c r="C477" s="303" t="s">
        <v>740</v>
      </c>
      <c r="D477" s="304" t="s">
        <v>98</v>
      </c>
      <c r="E477" s="694" t="s">
        <v>319</v>
      </c>
      <c r="F477" s="303" t="s">
        <v>302</v>
      </c>
      <c r="G477" s="122" t="s">
        <v>18</v>
      </c>
      <c r="H477" s="534" t="s">
        <v>954</v>
      </c>
      <c r="I477" s="582" t="str">
        <f>VLOOKUP(H477,'9a-Typen vloeren'!$A$10:$B$40,2,FALSE)</f>
        <v>zie kwaliteitsontwerp</v>
      </c>
      <c r="J477" s="588">
        <v>3.2999999523162842</v>
      </c>
      <c r="K477" s="433">
        <f t="shared" si="35"/>
        <v>0</v>
      </c>
      <c r="L477" s="433">
        <f t="shared" si="36"/>
        <v>0</v>
      </c>
      <c r="M477" s="433">
        <f t="shared" si="37"/>
        <v>0</v>
      </c>
      <c r="N477" s="672"/>
      <c r="O477" s="729">
        <f>IF(N477="",0,N477*K477/'9b-Vloeronderhoud'!$F$4)</f>
        <v>0</v>
      </c>
      <c r="P477" s="672"/>
      <c r="Q477" s="729" t="e">
        <f>IF(O477="",0,P477*L477/'9b-Vloeronderhoud'!$F$6)</f>
        <v>#DIV/0!</v>
      </c>
      <c r="R477" s="449">
        <v>1</v>
      </c>
      <c r="S477" s="672">
        <v>190</v>
      </c>
      <c r="T477" s="161" t="e">
        <f t="shared" si="38"/>
        <v>#DIV/0!</v>
      </c>
      <c r="U477" s="162">
        <f>IF(S477="nio",0,IF(S477&gt;0,VLOOKUP(G477,'3-Productie normen'!A:K,VLOOKUP(S477,'3-Productie normen'!L:N,3,FALSE),FALSE)))</f>
        <v>0</v>
      </c>
      <c r="V477" s="162">
        <f>VLOOKUP(G477,'3-Productie normen'!A:K,10,FALSE)</f>
        <v>1859.5880019121171</v>
      </c>
      <c r="W477" s="163">
        <f>VLOOKUP(G477,'3-Productie normen'!A:K,11,FALSE)</f>
        <v>0</v>
      </c>
      <c r="X477" s="163"/>
      <c r="Z477" s="129">
        <f t="shared" si="39"/>
        <v>626.99999094009399</v>
      </c>
    </row>
    <row r="478" spans="1:26" ht="14.1" customHeight="1">
      <c r="A478" s="144">
        <v>484</v>
      </c>
      <c r="B478" s="160" t="s">
        <v>249</v>
      </c>
      <c r="C478" s="303" t="s">
        <v>740</v>
      </c>
      <c r="D478" s="304" t="s">
        <v>98</v>
      </c>
      <c r="E478" s="694" t="s">
        <v>320</v>
      </c>
      <c r="F478" s="303" t="s">
        <v>302</v>
      </c>
      <c r="G478" s="546" t="s">
        <v>18</v>
      </c>
      <c r="H478" s="534" t="s">
        <v>954</v>
      </c>
      <c r="I478" s="582" t="str">
        <f>VLOOKUP(H478,'9a-Typen vloeren'!$A$10:$B$40,2,FALSE)</f>
        <v>zie kwaliteitsontwerp</v>
      </c>
      <c r="J478" s="588">
        <v>5</v>
      </c>
      <c r="K478" s="433">
        <f t="shared" si="35"/>
        <v>0</v>
      </c>
      <c r="L478" s="433">
        <f t="shared" si="36"/>
        <v>0</v>
      </c>
      <c r="M478" s="433">
        <f t="shared" si="37"/>
        <v>0</v>
      </c>
      <c r="N478" s="672"/>
      <c r="O478" s="729">
        <f>IF(N478="",0,N478*K478/'9b-Vloeronderhoud'!$F$4)</f>
        <v>0</v>
      </c>
      <c r="P478" s="672"/>
      <c r="Q478" s="729" t="e">
        <f>IF(O478="",0,P478*L478/'9b-Vloeronderhoud'!$F$6)</f>
        <v>#DIV/0!</v>
      </c>
      <c r="R478" s="449">
        <v>1</v>
      </c>
      <c r="S478" s="672">
        <v>190</v>
      </c>
      <c r="T478" s="161" t="e">
        <f t="shared" si="38"/>
        <v>#DIV/0!</v>
      </c>
      <c r="U478" s="162">
        <f>IF(S478="nio",0,IF(S478&gt;0,VLOOKUP(G478,'3-Productie normen'!A:K,VLOOKUP(S478,'3-Productie normen'!L:N,3,FALSE),FALSE)))</f>
        <v>0</v>
      </c>
      <c r="V478" s="162">
        <f>VLOOKUP(G478,'3-Productie normen'!A:K,10,FALSE)</f>
        <v>1859.5880019121171</v>
      </c>
      <c r="W478" s="163">
        <f>VLOOKUP(G478,'3-Productie normen'!A:K,11,FALSE)</f>
        <v>0</v>
      </c>
      <c r="X478" s="163"/>
      <c r="Z478" s="129">
        <f t="shared" si="39"/>
        <v>950</v>
      </c>
    </row>
    <row r="479" spans="1:26" ht="14.1" customHeight="1">
      <c r="A479" s="144">
        <v>485</v>
      </c>
      <c r="B479" s="160" t="s">
        <v>249</v>
      </c>
      <c r="C479" s="303" t="s">
        <v>740</v>
      </c>
      <c r="D479" s="304" t="s">
        <v>98</v>
      </c>
      <c r="E479" s="694" t="s">
        <v>321</v>
      </c>
      <c r="F479" s="303" t="s">
        <v>221</v>
      </c>
      <c r="G479" s="122" t="s">
        <v>221</v>
      </c>
      <c r="H479" s="534" t="s">
        <v>100</v>
      </c>
      <c r="I479" s="582" t="str">
        <f>VLOOKUP(H479,'9a-Typen vloeren'!$A$10:$B$40,2,FALSE)</f>
        <v>Sprayen/ conserveren</v>
      </c>
      <c r="J479" s="588">
        <v>58.200000762939453</v>
      </c>
      <c r="K479" s="433">
        <f t="shared" si="35"/>
        <v>58.200000762939453</v>
      </c>
      <c r="L479" s="433">
        <f t="shared" si="36"/>
        <v>0</v>
      </c>
      <c r="M479" s="433">
        <f t="shared" si="37"/>
        <v>0</v>
      </c>
      <c r="N479" s="672"/>
      <c r="O479" s="729">
        <f>IF(N479="",0,N479*K479/'9b-Vloeronderhoud'!$F$4)</f>
        <v>0</v>
      </c>
      <c r="P479" s="672"/>
      <c r="Q479" s="729" t="e">
        <f>IF(O479="",0,P479*L479/'9b-Vloeronderhoud'!$F$6)</f>
        <v>#DIV/0!</v>
      </c>
      <c r="R479" s="449">
        <v>1</v>
      </c>
      <c r="S479" s="672">
        <v>80</v>
      </c>
      <c r="T479" s="161" t="e">
        <f t="shared" si="38"/>
        <v>#DIV/0!</v>
      </c>
      <c r="U479" s="162">
        <f>IF(S479="nio",0,IF(S479&gt;0,VLOOKUP(G479,'3-Productie normen'!A:K,VLOOKUP(S479,'3-Productie normen'!L:N,3,FALSE),FALSE)))</f>
        <v>0</v>
      </c>
      <c r="V479" s="162">
        <f>VLOOKUP(G479,'3-Productie normen'!A:K,10,FALSE)</f>
        <v>16013.110036668773</v>
      </c>
      <c r="W479" s="163">
        <f>VLOOKUP(G479,'3-Productie normen'!A:K,11,FALSE)</f>
        <v>0</v>
      </c>
      <c r="X479" s="163"/>
      <c r="Z479" s="129">
        <f t="shared" si="39"/>
        <v>4656.0000610351563</v>
      </c>
    </row>
    <row r="480" spans="1:26" ht="14.1" customHeight="1">
      <c r="A480" s="144">
        <v>486</v>
      </c>
      <c r="B480" s="160" t="s">
        <v>249</v>
      </c>
      <c r="C480" s="303" t="s">
        <v>740</v>
      </c>
      <c r="D480" s="304" t="s">
        <v>98</v>
      </c>
      <c r="E480" s="694" t="s">
        <v>322</v>
      </c>
      <c r="F480" s="303" t="s">
        <v>313</v>
      </c>
      <c r="G480" s="460" t="s">
        <v>881</v>
      </c>
      <c r="H480" s="534" t="s">
        <v>100</v>
      </c>
      <c r="I480" s="582" t="str">
        <f>VLOOKUP(H480,'9a-Typen vloeren'!$A$10:$B$40,2,FALSE)</f>
        <v>Sprayen/ conserveren</v>
      </c>
      <c r="J480" s="588">
        <v>2.5999999046325684</v>
      </c>
      <c r="K480" s="433">
        <f t="shared" si="35"/>
        <v>0</v>
      </c>
      <c r="L480" s="433">
        <f t="shared" si="36"/>
        <v>0</v>
      </c>
      <c r="M480" s="433">
        <f t="shared" si="37"/>
        <v>0</v>
      </c>
      <c r="N480" s="672"/>
      <c r="O480" s="729">
        <f>IF(N480="",0,N480*K480/'9b-Vloeronderhoud'!$F$4)</f>
        <v>0</v>
      </c>
      <c r="P480" s="672"/>
      <c r="Q480" s="729" t="e">
        <f>IF(O480="",0,P480*L480/'9b-Vloeronderhoud'!$F$6)</f>
        <v>#DIV/0!</v>
      </c>
      <c r="R480" s="449">
        <v>1</v>
      </c>
      <c r="S480" s="672" t="s">
        <v>179</v>
      </c>
      <c r="T480" s="161">
        <f t="shared" si="38"/>
        <v>0</v>
      </c>
      <c r="U480" s="162">
        <f>IF(S480="nio",0,IF(S480&gt;0,VLOOKUP(G480,'3-Productie normen'!A:K,VLOOKUP(S480,'3-Productie normen'!L:N,3,FALSE),FALSE)))</f>
        <v>0</v>
      </c>
      <c r="V480" s="162">
        <f>VLOOKUP(G480,'3-Productie normen'!A:K,10,FALSE)</f>
        <v>5262.809993648526</v>
      </c>
      <c r="W480" s="163">
        <f>VLOOKUP(G480,'3-Productie normen'!A:K,11,FALSE)</f>
        <v>0</v>
      </c>
      <c r="X480" s="163"/>
      <c r="Z480" s="129">
        <f t="shared" si="39"/>
        <v>0</v>
      </c>
    </row>
    <row r="481" spans="1:26" ht="14.1" customHeight="1">
      <c r="A481" s="144">
        <v>487</v>
      </c>
      <c r="B481" s="160" t="s">
        <v>249</v>
      </c>
      <c r="C481" s="303" t="s">
        <v>740</v>
      </c>
      <c r="D481" s="304" t="s">
        <v>98</v>
      </c>
      <c r="E481" s="694" t="s">
        <v>323</v>
      </c>
      <c r="F481" s="303" t="s">
        <v>302</v>
      </c>
      <c r="G481" s="546" t="s">
        <v>18</v>
      </c>
      <c r="H481" s="534" t="s">
        <v>954</v>
      </c>
      <c r="I481" s="582" t="str">
        <f>VLOOKUP(H481,'9a-Typen vloeren'!$A$10:$B$40,2,FALSE)</f>
        <v>zie kwaliteitsontwerp</v>
      </c>
      <c r="J481" s="588">
        <v>5</v>
      </c>
      <c r="K481" s="433">
        <f t="shared" si="35"/>
        <v>0</v>
      </c>
      <c r="L481" s="433">
        <f t="shared" si="36"/>
        <v>0</v>
      </c>
      <c r="M481" s="433">
        <f t="shared" si="37"/>
        <v>0</v>
      </c>
      <c r="N481" s="672"/>
      <c r="O481" s="729">
        <f>IF(N481="",0,N481*K481/'9b-Vloeronderhoud'!$F$4)</f>
        <v>0</v>
      </c>
      <c r="P481" s="672"/>
      <c r="Q481" s="729" t="e">
        <f>IF(O481="",0,P481*L481/'9b-Vloeronderhoud'!$F$6)</f>
        <v>#DIV/0!</v>
      </c>
      <c r="R481" s="449">
        <v>1</v>
      </c>
      <c r="S481" s="672">
        <v>190</v>
      </c>
      <c r="T481" s="161" t="e">
        <f t="shared" si="38"/>
        <v>#DIV/0!</v>
      </c>
      <c r="U481" s="162">
        <f>IF(S481="nio",0,IF(S481&gt;0,VLOOKUP(G481,'3-Productie normen'!A:K,VLOOKUP(S481,'3-Productie normen'!L:N,3,FALSE),FALSE)))</f>
        <v>0</v>
      </c>
      <c r="V481" s="162">
        <f>VLOOKUP(G481,'3-Productie normen'!A:K,10,FALSE)</f>
        <v>1859.5880019121171</v>
      </c>
      <c r="W481" s="163">
        <f>VLOOKUP(G481,'3-Productie normen'!A:K,11,FALSE)</f>
        <v>0</v>
      </c>
      <c r="X481" s="163"/>
      <c r="Z481" s="129">
        <f t="shared" si="39"/>
        <v>950</v>
      </c>
    </row>
    <row r="482" spans="1:26" ht="14.1" customHeight="1">
      <c r="A482" s="144">
        <v>488</v>
      </c>
      <c r="B482" s="160" t="s">
        <v>249</v>
      </c>
      <c r="C482" s="303" t="s">
        <v>740</v>
      </c>
      <c r="D482" s="304" t="s">
        <v>98</v>
      </c>
      <c r="E482" s="694" t="s">
        <v>325</v>
      </c>
      <c r="F482" s="303" t="s">
        <v>221</v>
      </c>
      <c r="G482" s="303" t="s">
        <v>221</v>
      </c>
      <c r="H482" s="534" t="s">
        <v>100</v>
      </c>
      <c r="I482" s="582" t="str">
        <f>VLOOKUP(H482,'9a-Typen vloeren'!$A$10:$B$40,2,FALSE)</f>
        <v>Sprayen/ conserveren</v>
      </c>
      <c r="J482" s="588">
        <v>58.200000762939453</v>
      </c>
      <c r="K482" s="433">
        <f t="shared" si="35"/>
        <v>58.200000762939453</v>
      </c>
      <c r="L482" s="433">
        <f t="shared" si="36"/>
        <v>0</v>
      </c>
      <c r="M482" s="433">
        <f t="shared" si="37"/>
        <v>0</v>
      </c>
      <c r="N482" s="672"/>
      <c r="O482" s="729">
        <f>IF(N482="",0,N482*K482/'9b-Vloeronderhoud'!$F$4)</f>
        <v>0</v>
      </c>
      <c r="P482" s="672"/>
      <c r="Q482" s="729" t="e">
        <f>IF(O482="",0,P482*L482/'9b-Vloeronderhoud'!$F$6)</f>
        <v>#DIV/0!</v>
      </c>
      <c r="R482" s="449">
        <v>1</v>
      </c>
      <c r="S482" s="672">
        <v>80</v>
      </c>
      <c r="T482" s="161" t="e">
        <f t="shared" si="38"/>
        <v>#DIV/0!</v>
      </c>
      <c r="U482" s="162">
        <f>IF(S482="nio",0,IF(S482&gt;0,VLOOKUP(G482,'3-Productie normen'!A:K,VLOOKUP(S482,'3-Productie normen'!L:N,3,FALSE),FALSE)))</f>
        <v>0</v>
      </c>
      <c r="V482" s="162">
        <f>VLOOKUP(G482,'3-Productie normen'!A:K,10,FALSE)</f>
        <v>16013.110036668773</v>
      </c>
      <c r="W482" s="163">
        <f>VLOOKUP(G482,'3-Productie normen'!A:K,11,FALSE)</f>
        <v>0</v>
      </c>
      <c r="X482" s="163"/>
      <c r="Z482" s="129">
        <f t="shared" si="39"/>
        <v>4656.0000610351563</v>
      </c>
    </row>
    <row r="483" spans="1:26" ht="14.1" customHeight="1">
      <c r="A483" s="144">
        <v>489</v>
      </c>
      <c r="B483" s="160" t="s">
        <v>249</v>
      </c>
      <c r="C483" s="303" t="s">
        <v>740</v>
      </c>
      <c r="D483" s="304" t="s">
        <v>98</v>
      </c>
      <c r="E483" s="694" t="s">
        <v>725</v>
      </c>
      <c r="F483" s="303" t="s">
        <v>313</v>
      </c>
      <c r="G483" s="460" t="s">
        <v>881</v>
      </c>
      <c r="H483" s="534" t="s">
        <v>100</v>
      </c>
      <c r="I483" s="582" t="str">
        <f>VLOOKUP(H483,'9a-Typen vloeren'!$A$10:$B$40,2,FALSE)</f>
        <v>Sprayen/ conserveren</v>
      </c>
      <c r="J483" s="588">
        <v>2.5999999046325684</v>
      </c>
      <c r="K483" s="433">
        <f t="shared" si="35"/>
        <v>0</v>
      </c>
      <c r="L483" s="433">
        <f t="shared" si="36"/>
        <v>0</v>
      </c>
      <c r="M483" s="433">
        <f t="shared" si="37"/>
        <v>0</v>
      </c>
      <c r="N483" s="672"/>
      <c r="O483" s="729">
        <f>IF(N483="",0,N483*K483/'9b-Vloeronderhoud'!$F$4)</f>
        <v>0</v>
      </c>
      <c r="P483" s="672"/>
      <c r="Q483" s="729" t="e">
        <f>IF(O483="",0,P483*L483/'9b-Vloeronderhoud'!$F$6)</f>
        <v>#DIV/0!</v>
      </c>
      <c r="R483" s="449">
        <v>1</v>
      </c>
      <c r="S483" s="672" t="s">
        <v>179</v>
      </c>
      <c r="T483" s="161">
        <f t="shared" si="38"/>
        <v>0</v>
      </c>
      <c r="U483" s="162">
        <f>IF(S483="nio",0,IF(S483&gt;0,VLOOKUP(G483,'3-Productie normen'!A:K,VLOOKUP(S483,'3-Productie normen'!L:N,3,FALSE),FALSE)))</f>
        <v>0</v>
      </c>
      <c r="V483" s="162">
        <f>VLOOKUP(G483,'3-Productie normen'!A:K,10,FALSE)</f>
        <v>5262.809993648526</v>
      </c>
      <c r="W483" s="163">
        <f>VLOOKUP(G483,'3-Productie normen'!A:K,11,FALSE)</f>
        <v>0</v>
      </c>
      <c r="X483" s="163"/>
      <c r="Z483" s="129">
        <f t="shared" si="39"/>
        <v>0</v>
      </c>
    </row>
    <row r="484" spans="1:26" ht="14.1" customHeight="1">
      <c r="A484" s="144">
        <v>490</v>
      </c>
      <c r="B484" s="485" t="s">
        <v>249</v>
      </c>
      <c r="C484" s="303" t="s">
        <v>740</v>
      </c>
      <c r="D484" s="304" t="s">
        <v>98</v>
      </c>
      <c r="E484" s="694" t="s">
        <v>326</v>
      </c>
      <c r="F484" s="303" t="s">
        <v>302</v>
      </c>
      <c r="G484" s="460" t="s">
        <v>18</v>
      </c>
      <c r="H484" s="534" t="s">
        <v>954</v>
      </c>
      <c r="I484" s="582" t="str">
        <f>VLOOKUP(H484,'9a-Typen vloeren'!$A$10:$B$40,2,FALSE)</f>
        <v>zie kwaliteitsontwerp</v>
      </c>
      <c r="J484" s="588">
        <v>5</v>
      </c>
      <c r="K484" s="433">
        <f t="shared" si="35"/>
        <v>0</v>
      </c>
      <c r="L484" s="433">
        <f t="shared" si="36"/>
        <v>0</v>
      </c>
      <c r="M484" s="433">
        <f t="shared" si="37"/>
        <v>0</v>
      </c>
      <c r="N484" s="672"/>
      <c r="O484" s="729">
        <f>IF(N484="",0,N484*K484/'9b-Vloeronderhoud'!$F$4)</f>
        <v>0</v>
      </c>
      <c r="P484" s="672"/>
      <c r="Q484" s="729" t="e">
        <f>IF(O484="",0,P484*L484/'9b-Vloeronderhoud'!$F$6)</f>
        <v>#DIV/0!</v>
      </c>
      <c r="R484" s="449">
        <v>1</v>
      </c>
      <c r="S484" s="672">
        <v>190</v>
      </c>
      <c r="T484" s="161" t="e">
        <f t="shared" si="38"/>
        <v>#DIV/0!</v>
      </c>
      <c r="U484" s="162">
        <f>IF(S484="nio",0,IF(S484&gt;0,VLOOKUP(G484,'3-Productie normen'!A:K,VLOOKUP(S484,'3-Productie normen'!L:N,3,FALSE),FALSE)))</f>
        <v>0</v>
      </c>
      <c r="V484" s="162">
        <f>VLOOKUP(G484,'3-Productie normen'!A:K,10,FALSE)</f>
        <v>1859.5880019121171</v>
      </c>
      <c r="W484" s="163">
        <f>VLOOKUP(G484,'3-Productie normen'!A:K,11,FALSE)</f>
        <v>0</v>
      </c>
      <c r="X484" s="163"/>
      <c r="Z484" s="129">
        <f t="shared" si="39"/>
        <v>950</v>
      </c>
    </row>
    <row r="485" spans="1:26" ht="14.1" customHeight="1">
      <c r="A485" s="144">
        <v>491</v>
      </c>
      <c r="B485" s="485" t="s">
        <v>249</v>
      </c>
      <c r="C485" s="303" t="s">
        <v>740</v>
      </c>
      <c r="D485" s="304" t="s">
        <v>98</v>
      </c>
      <c r="E485" s="694" t="s">
        <v>328</v>
      </c>
      <c r="F485" s="303" t="s">
        <v>221</v>
      </c>
      <c r="G485" s="126" t="s">
        <v>221</v>
      </c>
      <c r="H485" s="534" t="s">
        <v>100</v>
      </c>
      <c r="I485" s="582" t="str">
        <f>VLOOKUP(H485,'9a-Typen vloeren'!$A$10:$B$40,2,FALSE)</f>
        <v>Sprayen/ conserveren</v>
      </c>
      <c r="J485" s="588">
        <v>58.200000762939453</v>
      </c>
      <c r="K485" s="433">
        <f t="shared" si="35"/>
        <v>58.200000762939453</v>
      </c>
      <c r="L485" s="433">
        <f t="shared" si="36"/>
        <v>0</v>
      </c>
      <c r="M485" s="433">
        <f t="shared" si="37"/>
        <v>0</v>
      </c>
      <c r="N485" s="672"/>
      <c r="O485" s="729">
        <f>IF(N485="",0,N485*K485/'9b-Vloeronderhoud'!$F$4)</f>
        <v>0</v>
      </c>
      <c r="P485" s="672"/>
      <c r="Q485" s="729" t="e">
        <f>IF(O485="",0,P485*L485/'9b-Vloeronderhoud'!$F$6)</f>
        <v>#DIV/0!</v>
      </c>
      <c r="R485" s="449">
        <v>1</v>
      </c>
      <c r="S485" s="672">
        <v>80</v>
      </c>
      <c r="T485" s="161" t="e">
        <f t="shared" si="38"/>
        <v>#DIV/0!</v>
      </c>
      <c r="U485" s="162">
        <f>IF(S485="nio",0,IF(S485&gt;0,VLOOKUP(G485,'3-Productie normen'!A:K,VLOOKUP(S485,'3-Productie normen'!L:N,3,FALSE),FALSE)))</f>
        <v>0</v>
      </c>
      <c r="V485" s="162">
        <f>VLOOKUP(G485,'3-Productie normen'!A:K,10,FALSE)</f>
        <v>16013.110036668773</v>
      </c>
      <c r="W485" s="163">
        <f>VLOOKUP(G485,'3-Productie normen'!A:K,11,FALSE)</f>
        <v>0</v>
      </c>
      <c r="X485" s="163"/>
      <c r="Z485" s="129">
        <f t="shared" si="39"/>
        <v>4656.0000610351563</v>
      </c>
    </row>
    <row r="486" spans="1:26" ht="14.1" customHeight="1">
      <c r="A486" s="144">
        <v>492</v>
      </c>
      <c r="B486" s="485" t="s">
        <v>249</v>
      </c>
      <c r="C486" s="303" t="s">
        <v>740</v>
      </c>
      <c r="D486" s="304" t="s">
        <v>98</v>
      </c>
      <c r="E486" s="694" t="s">
        <v>669</v>
      </c>
      <c r="F486" s="303" t="s">
        <v>313</v>
      </c>
      <c r="G486" s="460" t="s">
        <v>881</v>
      </c>
      <c r="H486" s="534" t="s">
        <v>100</v>
      </c>
      <c r="I486" s="582" t="str">
        <f>VLOOKUP(H486,'9a-Typen vloeren'!$A$10:$B$40,2,FALSE)</f>
        <v>Sprayen/ conserveren</v>
      </c>
      <c r="J486" s="588">
        <v>2.5999999046325684</v>
      </c>
      <c r="K486" s="433">
        <f t="shared" si="35"/>
        <v>0</v>
      </c>
      <c r="L486" s="433">
        <f t="shared" si="36"/>
        <v>0</v>
      </c>
      <c r="M486" s="433">
        <f t="shared" si="37"/>
        <v>0</v>
      </c>
      <c r="N486" s="672"/>
      <c r="O486" s="729">
        <f>IF(N486="",0,N486*K486/'9b-Vloeronderhoud'!$F$4)</f>
        <v>0</v>
      </c>
      <c r="P486" s="672"/>
      <c r="Q486" s="729" t="e">
        <f>IF(O486="",0,P486*L486/'9b-Vloeronderhoud'!$F$6)</f>
        <v>#DIV/0!</v>
      </c>
      <c r="R486" s="449">
        <v>1</v>
      </c>
      <c r="S486" s="672" t="s">
        <v>179</v>
      </c>
      <c r="T486" s="161">
        <f t="shared" si="38"/>
        <v>0</v>
      </c>
      <c r="U486" s="162">
        <f>IF(S486="nio",0,IF(S486&gt;0,VLOOKUP(G486,'3-Productie normen'!A:K,VLOOKUP(S486,'3-Productie normen'!L:N,3,FALSE),FALSE)))</f>
        <v>0</v>
      </c>
      <c r="V486" s="162">
        <f>VLOOKUP(G486,'3-Productie normen'!A:K,10,FALSE)</f>
        <v>5262.809993648526</v>
      </c>
      <c r="W486" s="163">
        <f>VLOOKUP(G486,'3-Productie normen'!A:K,11,FALSE)</f>
        <v>0</v>
      </c>
      <c r="X486" s="163"/>
      <c r="Z486" s="129">
        <f t="shared" si="39"/>
        <v>0</v>
      </c>
    </row>
    <row r="487" spans="1:26" ht="14.1" customHeight="1">
      <c r="A487" s="144">
        <v>493</v>
      </c>
      <c r="B487" s="485" t="s">
        <v>249</v>
      </c>
      <c r="C487" s="303" t="s">
        <v>740</v>
      </c>
      <c r="D487" s="304">
        <v>1</v>
      </c>
      <c r="E487" s="694" t="s">
        <v>351</v>
      </c>
      <c r="F487" s="303" t="s">
        <v>412</v>
      </c>
      <c r="G487" s="460" t="s">
        <v>287</v>
      </c>
      <c r="H487" s="534" t="s">
        <v>100</v>
      </c>
      <c r="I487" s="582" t="str">
        <f>VLOOKUP(H487,'9a-Typen vloeren'!$A$10:$B$40,2,FALSE)</f>
        <v>Sprayen/ conserveren</v>
      </c>
      <c r="J487" s="588">
        <v>3</v>
      </c>
      <c r="K487" s="433">
        <f t="shared" si="35"/>
        <v>3</v>
      </c>
      <c r="L487" s="433">
        <f t="shared" si="36"/>
        <v>0</v>
      </c>
      <c r="M487" s="433">
        <f t="shared" si="37"/>
        <v>0</v>
      </c>
      <c r="N487" s="672"/>
      <c r="O487" s="729">
        <f>IF(N487="",0,N487*K487/'9b-Vloeronderhoud'!$F$4)</f>
        <v>0</v>
      </c>
      <c r="P487" s="672"/>
      <c r="Q487" s="729" t="e">
        <f>IF(O487="",0,P487*L487/'9b-Vloeronderhoud'!$F$6)</f>
        <v>#DIV/0!</v>
      </c>
      <c r="R487" s="449">
        <v>1</v>
      </c>
      <c r="S487" s="672">
        <v>80</v>
      </c>
      <c r="T487" s="161" t="e">
        <f t="shared" si="38"/>
        <v>#DIV/0!</v>
      </c>
      <c r="U487" s="162">
        <f>IF(S487="nio",0,IF(S487&gt;0,VLOOKUP(G487,'3-Productie normen'!A:K,VLOOKUP(S487,'3-Productie normen'!L:N,3,FALSE),FALSE)))</f>
        <v>0</v>
      </c>
      <c r="V487" s="162">
        <f>VLOOKUP(G487,'3-Productie normen'!A:K,10,FALSE)</f>
        <v>519.460002565384</v>
      </c>
      <c r="W487" s="163">
        <f>VLOOKUP(G487,'3-Productie normen'!A:K,11,FALSE)</f>
        <v>0</v>
      </c>
      <c r="X487" s="163"/>
      <c r="Z487" s="129">
        <f t="shared" si="39"/>
        <v>240</v>
      </c>
    </row>
    <row r="488" spans="1:26" ht="14.1" customHeight="1">
      <c r="A488" s="144">
        <v>494</v>
      </c>
      <c r="B488" s="485" t="s">
        <v>249</v>
      </c>
      <c r="C488" s="303" t="s">
        <v>740</v>
      </c>
      <c r="D488" s="304">
        <v>1</v>
      </c>
      <c r="E488" s="694" t="s">
        <v>352</v>
      </c>
      <c r="F488" s="303" t="s">
        <v>350</v>
      </c>
      <c r="G488" s="122" t="s">
        <v>299</v>
      </c>
      <c r="H488" s="303" t="s">
        <v>332</v>
      </c>
      <c r="I488" s="582" t="str">
        <f>VLOOKUP(H488,'9a-Typen vloeren'!$A$10:$B$40,2,FALSE)</f>
        <v>Sproei/extraheren</v>
      </c>
      <c r="J488" s="588">
        <v>48.299999237060547</v>
      </c>
      <c r="K488" s="433">
        <f t="shared" si="35"/>
        <v>0</v>
      </c>
      <c r="L488" s="433">
        <f t="shared" si="36"/>
        <v>0</v>
      </c>
      <c r="M488" s="433">
        <f t="shared" si="37"/>
        <v>48.299999237060547</v>
      </c>
      <c r="N488" s="672"/>
      <c r="O488" s="729">
        <f>IF(N488="",0,N488*K488/'9b-Vloeronderhoud'!$F$4)</f>
        <v>0</v>
      </c>
      <c r="P488" s="672"/>
      <c r="Q488" s="729" t="e">
        <f>IF(O488="",0,P488*L488/'9b-Vloeronderhoud'!$F$6)</f>
        <v>#DIV/0!</v>
      </c>
      <c r="R488" s="449">
        <v>1</v>
      </c>
      <c r="S488" s="672">
        <v>40</v>
      </c>
      <c r="T488" s="161" t="e">
        <f t="shared" si="38"/>
        <v>#DIV/0!</v>
      </c>
      <c r="U488" s="162">
        <f>IF(S488="nio",0,IF(S488&gt;0,VLOOKUP(G488,'3-Productie normen'!A:K,VLOOKUP(S488,'3-Productie normen'!L:N,3,FALSE),FALSE)))</f>
        <v>0</v>
      </c>
      <c r="V488" s="162">
        <f>VLOOKUP(G488,'3-Productie normen'!A:K,10,FALSE)</f>
        <v>1107.9100014114381</v>
      </c>
      <c r="W488" s="163">
        <f>VLOOKUP(G488,'3-Productie normen'!A:K,11,FALSE)</f>
        <v>0</v>
      </c>
      <c r="X488" s="163"/>
      <c r="Z488" s="129">
        <f t="shared" si="39"/>
        <v>1931.9999694824219</v>
      </c>
    </row>
    <row r="489" spans="1:26" ht="14.1" customHeight="1">
      <c r="A489" s="144">
        <v>495</v>
      </c>
      <c r="B489" s="485" t="s">
        <v>249</v>
      </c>
      <c r="C489" s="303" t="s">
        <v>740</v>
      </c>
      <c r="D489" s="304">
        <v>1</v>
      </c>
      <c r="E489" s="694" t="s">
        <v>354</v>
      </c>
      <c r="F489" s="303" t="s">
        <v>297</v>
      </c>
      <c r="G489" s="4" t="s">
        <v>189</v>
      </c>
      <c r="H489" s="303" t="s">
        <v>332</v>
      </c>
      <c r="I489" s="582" t="str">
        <f>VLOOKUP(H489,'9a-Typen vloeren'!$A$10:$B$40,2,FALSE)</f>
        <v>Sproei/extraheren</v>
      </c>
      <c r="J489" s="588">
        <v>16.100000381469727</v>
      </c>
      <c r="K489" s="433">
        <f t="shared" si="35"/>
        <v>0</v>
      </c>
      <c r="L489" s="433">
        <f t="shared" si="36"/>
        <v>0</v>
      </c>
      <c r="M489" s="433">
        <f t="shared" si="37"/>
        <v>16.100000381469727</v>
      </c>
      <c r="N489" s="672"/>
      <c r="O489" s="729">
        <f>IF(N489="",0,N489*K489/'9b-Vloeronderhoud'!$F$4)</f>
        <v>0</v>
      </c>
      <c r="P489" s="672"/>
      <c r="Q489" s="729" t="e">
        <f>IF(O489="",0,P489*L489/'9b-Vloeronderhoud'!$F$6)</f>
        <v>#DIV/0!</v>
      </c>
      <c r="R489" s="449">
        <v>1</v>
      </c>
      <c r="S489" s="672">
        <v>40</v>
      </c>
      <c r="T489" s="161" t="e">
        <f t="shared" si="38"/>
        <v>#DIV/0!</v>
      </c>
      <c r="U489" s="162">
        <f>IF(S489="nio",0,IF(S489&gt;0,VLOOKUP(G489,'3-Productie normen'!A:K,VLOOKUP(S489,'3-Productie normen'!L:N,3,FALSE),FALSE)))</f>
        <v>0</v>
      </c>
      <c r="V489" s="162">
        <f>VLOOKUP(G489,'3-Productie normen'!A:K,10,FALSE)</f>
        <v>1494.1700078582762</v>
      </c>
      <c r="W489" s="163">
        <f>VLOOKUP(G489,'3-Productie normen'!A:K,11,FALSE)</f>
        <v>0</v>
      </c>
      <c r="X489" s="163"/>
      <c r="Z489" s="129">
        <f t="shared" si="39"/>
        <v>644.00001525878906</v>
      </c>
    </row>
    <row r="490" spans="1:26" ht="14.1" customHeight="1">
      <c r="A490" s="144">
        <v>496</v>
      </c>
      <c r="B490" s="485" t="s">
        <v>255</v>
      </c>
      <c r="C490" s="303" t="s">
        <v>782</v>
      </c>
      <c r="D490" s="304" t="s">
        <v>98</v>
      </c>
      <c r="E490" s="694" t="s">
        <v>294</v>
      </c>
      <c r="F490" s="126" t="s">
        <v>99</v>
      </c>
      <c r="G490" s="303" t="s">
        <v>99</v>
      </c>
      <c r="H490" s="303" t="s">
        <v>332</v>
      </c>
      <c r="I490" s="582" t="str">
        <f>VLOOKUP(H490,'9a-Typen vloeren'!$A$10:$B$40,2,FALSE)</f>
        <v>Sproei/extraheren</v>
      </c>
      <c r="J490" s="588">
        <v>5</v>
      </c>
      <c r="K490" s="433">
        <f t="shared" si="35"/>
        <v>0</v>
      </c>
      <c r="L490" s="433">
        <f t="shared" si="36"/>
        <v>0</v>
      </c>
      <c r="M490" s="433">
        <f t="shared" si="37"/>
        <v>5</v>
      </c>
      <c r="N490" s="672"/>
      <c r="O490" s="729">
        <f>IF(N490="",0,N490*K490/'9b-Vloeronderhoud'!$F$4)</f>
        <v>0</v>
      </c>
      <c r="P490" s="672"/>
      <c r="Q490" s="729" t="e">
        <f>IF(O490="",0,P490*L490/'9b-Vloeronderhoud'!$F$6)</f>
        <v>#DIV/0!</v>
      </c>
      <c r="R490" s="449">
        <v>1</v>
      </c>
      <c r="S490" s="672">
        <v>190</v>
      </c>
      <c r="T490" s="161" t="e">
        <f t="shared" si="38"/>
        <v>#DIV/0!</v>
      </c>
      <c r="U490" s="162">
        <f>IF(S490="nio",0,IF(S490&gt;0,VLOOKUP(G490,'3-Productie normen'!A:K,VLOOKUP(S490,'3-Productie normen'!L:N,3,FALSE),FALSE)))</f>
        <v>0</v>
      </c>
      <c r="V490" s="162">
        <f>VLOOKUP(G490,'3-Productie normen'!A:K,10,FALSE)</f>
        <v>726.97999910354622</v>
      </c>
      <c r="W490" s="163">
        <f>VLOOKUP(G490,'3-Productie normen'!A:K,11,FALSE)</f>
        <v>0</v>
      </c>
      <c r="X490" s="163"/>
      <c r="Z490" s="129">
        <f t="shared" si="39"/>
        <v>950</v>
      </c>
    </row>
    <row r="491" spans="1:26" ht="14.1" customHeight="1">
      <c r="A491" s="144">
        <v>497</v>
      </c>
      <c r="B491" s="485" t="s">
        <v>255</v>
      </c>
      <c r="C491" s="303" t="s">
        <v>782</v>
      </c>
      <c r="D491" s="304" t="s">
        <v>98</v>
      </c>
      <c r="E491" s="694" t="s">
        <v>295</v>
      </c>
      <c r="F491" s="303" t="s">
        <v>283</v>
      </c>
      <c r="G491" s="460" t="s">
        <v>286</v>
      </c>
      <c r="H491" s="534" t="s">
        <v>100</v>
      </c>
      <c r="I491" s="582" t="str">
        <f>VLOOKUP(H491,'9a-Typen vloeren'!$A$10:$B$40,2,FALSE)</f>
        <v>Sprayen/ conserveren</v>
      </c>
      <c r="J491" s="588">
        <v>40.700000762939453</v>
      </c>
      <c r="K491" s="433">
        <f t="shared" si="35"/>
        <v>40.700000762939453</v>
      </c>
      <c r="L491" s="433">
        <f t="shared" si="36"/>
        <v>0</v>
      </c>
      <c r="M491" s="433">
        <f t="shared" si="37"/>
        <v>0</v>
      </c>
      <c r="N491" s="672">
        <v>2</v>
      </c>
      <c r="O491" s="729" t="e">
        <f>IF(N491="",0,N491*K491/'9b-Vloeronderhoud'!$F$4)</f>
        <v>#DIV/0!</v>
      </c>
      <c r="P491" s="672"/>
      <c r="Q491" s="729" t="e">
        <f>IF(O491="",0,P491*L491/'9b-Vloeronderhoud'!$F$6)</f>
        <v>#DIV/0!</v>
      </c>
      <c r="R491" s="449">
        <v>1</v>
      </c>
      <c r="S491" s="672">
        <v>120</v>
      </c>
      <c r="T491" s="161" t="e">
        <f t="shared" si="38"/>
        <v>#DIV/0!</v>
      </c>
      <c r="U491" s="162">
        <f>IF(S491="nio",0,IF(S491&gt;0,VLOOKUP(G491,'3-Productie normen'!A:K,VLOOKUP(S491,'3-Productie normen'!L:N,3,FALSE),FALSE)))</f>
        <v>0</v>
      </c>
      <c r="V491" s="162">
        <f>VLOOKUP(G491,'3-Productie normen'!A:K,10,FALSE)</f>
        <v>6152.9500017547598</v>
      </c>
      <c r="W491" s="163">
        <f>VLOOKUP(G491,'3-Productie normen'!A:K,11,FALSE)</f>
        <v>0</v>
      </c>
      <c r="X491" s="163"/>
      <c r="Z491" s="129">
        <f t="shared" si="39"/>
        <v>4884.0000915527344</v>
      </c>
    </row>
    <row r="492" spans="1:26" ht="14.1" customHeight="1">
      <c r="A492" s="144">
        <v>498</v>
      </c>
      <c r="B492" s="485" t="s">
        <v>255</v>
      </c>
      <c r="C492" s="303" t="s">
        <v>782</v>
      </c>
      <c r="D492" s="304" t="s">
        <v>98</v>
      </c>
      <c r="E492" s="694" t="s">
        <v>296</v>
      </c>
      <c r="F492" s="303" t="s">
        <v>297</v>
      </c>
      <c r="G492" s="122" t="s">
        <v>189</v>
      </c>
      <c r="H492" s="303" t="s">
        <v>332</v>
      </c>
      <c r="I492" s="582" t="str">
        <f>VLOOKUP(H492,'9a-Typen vloeren'!$A$10:$B$40,2,FALSE)</f>
        <v>Sproei/extraheren</v>
      </c>
      <c r="J492" s="588">
        <v>17.200000762939453</v>
      </c>
      <c r="K492" s="433">
        <f t="shared" si="35"/>
        <v>0</v>
      </c>
      <c r="L492" s="433">
        <f t="shared" si="36"/>
        <v>0</v>
      </c>
      <c r="M492" s="433">
        <f t="shared" si="37"/>
        <v>17.200000762939453</v>
      </c>
      <c r="N492" s="672"/>
      <c r="O492" s="729">
        <f>IF(N492="",0,N492*K492/'9b-Vloeronderhoud'!$F$4)</f>
        <v>0</v>
      </c>
      <c r="P492" s="672"/>
      <c r="Q492" s="729" t="e">
        <f>IF(O492="",0,P492*L492/'9b-Vloeronderhoud'!$F$6)</f>
        <v>#DIV/0!</v>
      </c>
      <c r="R492" s="449">
        <v>1</v>
      </c>
      <c r="S492" s="672">
        <v>40</v>
      </c>
      <c r="T492" s="161" t="e">
        <f t="shared" si="38"/>
        <v>#DIV/0!</v>
      </c>
      <c r="U492" s="162">
        <f>IF(S492="nio",0,IF(S492&gt;0,VLOOKUP(G492,'3-Productie normen'!A:K,VLOOKUP(S492,'3-Productie normen'!L:N,3,FALSE),FALSE)))</f>
        <v>0</v>
      </c>
      <c r="V492" s="162">
        <f>VLOOKUP(G492,'3-Productie normen'!A:K,10,FALSE)</f>
        <v>1494.1700078582762</v>
      </c>
      <c r="W492" s="163">
        <f>VLOOKUP(G492,'3-Productie normen'!A:K,11,FALSE)</f>
        <v>0</v>
      </c>
      <c r="X492" s="163"/>
      <c r="Z492" s="129">
        <f t="shared" si="39"/>
        <v>688.00003051757813</v>
      </c>
    </row>
    <row r="493" spans="1:26" ht="14.1" customHeight="1">
      <c r="A493" s="144">
        <v>499</v>
      </c>
      <c r="B493" s="485" t="s">
        <v>255</v>
      </c>
      <c r="C493" s="303" t="s">
        <v>782</v>
      </c>
      <c r="D493" s="304" t="s">
        <v>98</v>
      </c>
      <c r="E493" s="694" t="s">
        <v>298</v>
      </c>
      <c r="F493" s="303" t="s">
        <v>283</v>
      </c>
      <c r="G493" s="122" t="s">
        <v>286</v>
      </c>
      <c r="H493" s="534" t="s">
        <v>100</v>
      </c>
      <c r="I493" s="582" t="str">
        <f>VLOOKUP(H493,'9a-Typen vloeren'!$A$10:$B$40,2,FALSE)</f>
        <v>Sprayen/ conserveren</v>
      </c>
      <c r="J493" s="588">
        <v>13.199999809265137</v>
      </c>
      <c r="K493" s="433">
        <f t="shared" si="35"/>
        <v>13.199999809265137</v>
      </c>
      <c r="L493" s="433">
        <f t="shared" si="36"/>
        <v>0</v>
      </c>
      <c r="M493" s="433">
        <f t="shared" si="37"/>
        <v>0</v>
      </c>
      <c r="N493" s="672">
        <v>2</v>
      </c>
      <c r="O493" s="729" t="e">
        <f>IF(N493="",0,N493*K493/'9b-Vloeronderhoud'!$F$4)</f>
        <v>#DIV/0!</v>
      </c>
      <c r="P493" s="672"/>
      <c r="Q493" s="729" t="e">
        <f>IF(O493="",0,P493*L493/'9b-Vloeronderhoud'!$F$6)</f>
        <v>#DIV/0!</v>
      </c>
      <c r="R493" s="449">
        <v>1</v>
      </c>
      <c r="S493" s="672">
        <v>120</v>
      </c>
      <c r="T493" s="161" t="e">
        <f t="shared" si="38"/>
        <v>#DIV/0!</v>
      </c>
      <c r="U493" s="162">
        <f>IF(S493="nio",0,IF(S493&gt;0,VLOOKUP(G493,'3-Productie normen'!A:K,VLOOKUP(S493,'3-Productie normen'!L:N,3,FALSE),FALSE)))</f>
        <v>0</v>
      </c>
      <c r="V493" s="162">
        <f>VLOOKUP(G493,'3-Productie normen'!A:K,10,FALSE)</f>
        <v>6152.9500017547598</v>
      </c>
      <c r="W493" s="163">
        <f>VLOOKUP(G493,'3-Productie normen'!A:K,11,FALSE)</f>
        <v>0</v>
      </c>
      <c r="X493" s="163"/>
      <c r="Z493" s="129">
        <f t="shared" si="39"/>
        <v>1583.9999771118164</v>
      </c>
    </row>
    <row r="494" spans="1:26" ht="14.1" customHeight="1">
      <c r="A494" s="144">
        <v>500</v>
      </c>
      <c r="B494" s="485" t="s">
        <v>255</v>
      </c>
      <c r="C494" s="303" t="s">
        <v>782</v>
      </c>
      <c r="D494" s="304" t="s">
        <v>98</v>
      </c>
      <c r="E494" s="694" t="s">
        <v>301</v>
      </c>
      <c r="F494" s="494" t="s">
        <v>535</v>
      </c>
      <c r="G494" s="533" t="s">
        <v>191</v>
      </c>
      <c r="H494" s="534" t="s">
        <v>100</v>
      </c>
      <c r="I494" s="582" t="str">
        <f>VLOOKUP(H494,'9a-Typen vloeren'!$A$10:$B$40,2,FALSE)</f>
        <v>Sprayen/ conserveren</v>
      </c>
      <c r="J494" s="588">
        <v>12.300000190734863</v>
      </c>
      <c r="K494" s="433">
        <f t="shared" si="35"/>
        <v>12.300000190734863</v>
      </c>
      <c r="L494" s="433">
        <f t="shared" si="36"/>
        <v>0</v>
      </c>
      <c r="M494" s="433">
        <f t="shared" si="37"/>
        <v>0</v>
      </c>
      <c r="N494" s="672"/>
      <c r="O494" s="729">
        <f>IF(N494="",0,N494*K494/'9b-Vloeronderhoud'!$F$4)</f>
        <v>0</v>
      </c>
      <c r="P494" s="672"/>
      <c r="Q494" s="729" t="e">
        <f>IF(O494="",0,P494*L494/'9b-Vloeronderhoud'!$F$6)</f>
        <v>#DIV/0!</v>
      </c>
      <c r="R494" s="449">
        <v>1</v>
      </c>
      <c r="S494" s="672">
        <v>40</v>
      </c>
      <c r="T494" s="161" t="e">
        <f t="shared" si="38"/>
        <v>#DIV/0!</v>
      </c>
      <c r="U494" s="162">
        <f>IF(S494="nio",0,IF(S494&gt;0,VLOOKUP(G494,'3-Productie normen'!A:K,VLOOKUP(S494,'3-Productie normen'!L:N,3,FALSE),FALSE)))</f>
        <v>0</v>
      </c>
      <c r="V494" s="162">
        <f>VLOOKUP(G494,'3-Productie normen'!A:K,10,FALSE)</f>
        <v>314.55999933242794</v>
      </c>
      <c r="W494" s="163">
        <f>VLOOKUP(G494,'3-Productie normen'!A:K,11,FALSE)</f>
        <v>0</v>
      </c>
      <c r="X494" s="163"/>
      <c r="Z494" s="129">
        <f t="shared" si="39"/>
        <v>492.00000762939453</v>
      </c>
    </row>
    <row r="495" spans="1:26" ht="14.1" customHeight="1">
      <c r="A495" s="144">
        <v>501</v>
      </c>
      <c r="B495" s="485" t="s">
        <v>255</v>
      </c>
      <c r="C495" s="303" t="s">
        <v>782</v>
      </c>
      <c r="D495" s="304" t="s">
        <v>98</v>
      </c>
      <c r="E495" s="694" t="s">
        <v>303</v>
      </c>
      <c r="F495" s="303" t="s">
        <v>535</v>
      </c>
      <c r="G495" s="460" t="s">
        <v>191</v>
      </c>
      <c r="H495" s="534" t="s">
        <v>100</v>
      </c>
      <c r="I495" s="582" t="str">
        <f>VLOOKUP(H495,'9a-Typen vloeren'!$A$10:$B$40,2,FALSE)</f>
        <v>Sprayen/ conserveren</v>
      </c>
      <c r="J495" s="588">
        <v>19.5</v>
      </c>
      <c r="K495" s="433">
        <f t="shared" si="35"/>
        <v>19.5</v>
      </c>
      <c r="L495" s="433">
        <f t="shared" si="36"/>
        <v>0</v>
      </c>
      <c r="M495" s="433">
        <f t="shared" si="37"/>
        <v>0</v>
      </c>
      <c r="N495" s="672"/>
      <c r="O495" s="729">
        <f>IF(N495="",0,N495*K495/'9b-Vloeronderhoud'!$F$4)</f>
        <v>0</v>
      </c>
      <c r="P495" s="672"/>
      <c r="Q495" s="729" t="e">
        <f>IF(O495="",0,P495*L495/'9b-Vloeronderhoud'!$F$6)</f>
        <v>#DIV/0!</v>
      </c>
      <c r="R495" s="449">
        <v>1</v>
      </c>
      <c r="S495" s="672">
        <v>40</v>
      </c>
      <c r="T495" s="161" t="e">
        <f t="shared" si="38"/>
        <v>#DIV/0!</v>
      </c>
      <c r="U495" s="162">
        <f>IF(S495="nio",0,IF(S495&gt;0,VLOOKUP(G495,'3-Productie normen'!A:K,VLOOKUP(S495,'3-Productie normen'!L:N,3,FALSE),FALSE)))</f>
        <v>0</v>
      </c>
      <c r="V495" s="162">
        <f>VLOOKUP(G495,'3-Productie normen'!A:K,10,FALSE)</f>
        <v>314.55999933242794</v>
      </c>
      <c r="W495" s="163">
        <f>VLOOKUP(G495,'3-Productie normen'!A:K,11,FALSE)</f>
        <v>0</v>
      </c>
      <c r="X495" s="163"/>
      <c r="Z495" s="129">
        <f t="shared" si="39"/>
        <v>780</v>
      </c>
    </row>
    <row r="496" spans="1:26" ht="14.1" customHeight="1">
      <c r="A496" s="144">
        <v>502</v>
      </c>
      <c r="B496" s="485" t="s">
        <v>255</v>
      </c>
      <c r="C496" s="303" t="s">
        <v>782</v>
      </c>
      <c r="D496" s="304" t="s">
        <v>98</v>
      </c>
      <c r="E496" s="694" t="s">
        <v>305</v>
      </c>
      <c r="F496" s="303" t="s">
        <v>535</v>
      </c>
      <c r="G496" s="122" t="s">
        <v>191</v>
      </c>
      <c r="H496" s="534" t="s">
        <v>100</v>
      </c>
      <c r="I496" s="582" t="str">
        <f>VLOOKUP(H496,'9a-Typen vloeren'!$A$10:$B$40,2,FALSE)</f>
        <v>Sprayen/ conserveren</v>
      </c>
      <c r="J496" s="588">
        <v>13.800000190734863</v>
      </c>
      <c r="K496" s="433">
        <f t="shared" si="35"/>
        <v>13.800000190734863</v>
      </c>
      <c r="L496" s="433">
        <f t="shared" si="36"/>
        <v>0</v>
      </c>
      <c r="M496" s="433">
        <f t="shared" si="37"/>
        <v>0</v>
      </c>
      <c r="N496" s="672"/>
      <c r="O496" s="729">
        <f>IF(N496="",0,N496*K496/'9b-Vloeronderhoud'!$F$4)</f>
        <v>0</v>
      </c>
      <c r="P496" s="672"/>
      <c r="Q496" s="729" t="e">
        <f>IF(O496="",0,P496*L496/'9b-Vloeronderhoud'!$F$6)</f>
        <v>#DIV/0!</v>
      </c>
      <c r="R496" s="449">
        <v>1</v>
      </c>
      <c r="S496" s="672">
        <v>40</v>
      </c>
      <c r="T496" s="161" t="e">
        <f t="shared" si="38"/>
        <v>#DIV/0!</v>
      </c>
      <c r="U496" s="162">
        <f>IF(S496="nio",0,IF(S496&gt;0,VLOOKUP(G496,'3-Productie normen'!A:K,VLOOKUP(S496,'3-Productie normen'!L:N,3,FALSE),FALSE)))</f>
        <v>0</v>
      </c>
      <c r="V496" s="162">
        <f>VLOOKUP(G496,'3-Productie normen'!A:K,10,FALSE)</f>
        <v>314.55999933242794</v>
      </c>
      <c r="W496" s="163">
        <f>VLOOKUP(G496,'3-Productie normen'!A:K,11,FALSE)</f>
        <v>0</v>
      </c>
      <c r="X496" s="163"/>
      <c r="Z496" s="129">
        <f t="shared" si="39"/>
        <v>552.00000762939453</v>
      </c>
    </row>
    <row r="497" spans="1:26" ht="14.1" customHeight="1">
      <c r="A497" s="144">
        <v>503</v>
      </c>
      <c r="B497" s="485" t="s">
        <v>255</v>
      </c>
      <c r="C497" s="303" t="s">
        <v>782</v>
      </c>
      <c r="D497" s="304" t="s">
        <v>98</v>
      </c>
      <c r="E497" s="694" t="s">
        <v>306</v>
      </c>
      <c r="F497" s="303" t="s">
        <v>287</v>
      </c>
      <c r="G497" s="533" t="s">
        <v>287</v>
      </c>
      <c r="H497" s="534" t="s">
        <v>672</v>
      </c>
      <c r="I497" s="582" t="str">
        <f>VLOOKUP(H497,'9a-Typen vloeren'!$A$10:$B$40,2,FALSE)</f>
        <v>Schrobben</v>
      </c>
      <c r="J497" s="588">
        <v>10</v>
      </c>
      <c r="K497" s="433">
        <f t="shared" si="35"/>
        <v>0</v>
      </c>
      <c r="L497" s="433">
        <f t="shared" si="36"/>
        <v>10</v>
      </c>
      <c r="M497" s="433">
        <f t="shared" si="37"/>
        <v>0</v>
      </c>
      <c r="N497" s="672"/>
      <c r="O497" s="729">
        <f>IF(N497="",0,N497*K497/'9b-Vloeronderhoud'!$F$4)</f>
        <v>0</v>
      </c>
      <c r="P497" s="672"/>
      <c r="Q497" s="729" t="e">
        <f>IF(O497="",0,P497*L497/'9b-Vloeronderhoud'!$F$6)</f>
        <v>#DIV/0!</v>
      </c>
      <c r="R497" s="449">
        <v>1</v>
      </c>
      <c r="S497" s="672">
        <v>80</v>
      </c>
      <c r="T497" s="161" t="e">
        <f t="shared" si="38"/>
        <v>#DIV/0!</v>
      </c>
      <c r="U497" s="162">
        <f>IF(S497="nio",0,IF(S497&gt;0,VLOOKUP(G497,'3-Productie normen'!A:K,VLOOKUP(S497,'3-Productie normen'!L:N,3,FALSE),FALSE)))</f>
        <v>0</v>
      </c>
      <c r="V497" s="162">
        <f>VLOOKUP(G497,'3-Productie normen'!A:K,10,FALSE)</f>
        <v>519.460002565384</v>
      </c>
      <c r="W497" s="163">
        <f>VLOOKUP(G497,'3-Productie normen'!A:K,11,FALSE)</f>
        <v>0</v>
      </c>
      <c r="X497" s="163"/>
      <c r="Z497" s="129">
        <f t="shared" si="39"/>
        <v>800</v>
      </c>
    </row>
    <row r="498" spans="1:26" ht="14.1" customHeight="1">
      <c r="A498" s="144">
        <v>504</v>
      </c>
      <c r="B498" s="485" t="s">
        <v>255</v>
      </c>
      <c r="C498" s="303" t="s">
        <v>782</v>
      </c>
      <c r="D498" s="304" t="s">
        <v>98</v>
      </c>
      <c r="E498" s="694" t="s">
        <v>723</v>
      </c>
      <c r="F498" s="303" t="s">
        <v>412</v>
      </c>
      <c r="G498" s="460" t="s">
        <v>287</v>
      </c>
      <c r="H498" s="534" t="s">
        <v>101</v>
      </c>
      <c r="I498" s="582" t="str">
        <f>VLOOKUP(H498,'9a-Typen vloeren'!$A$10:$B$40,2,FALSE)</f>
        <v>Schrobben</v>
      </c>
      <c r="J498" s="588">
        <v>2.5</v>
      </c>
      <c r="K498" s="433">
        <f t="shared" si="35"/>
        <v>0</v>
      </c>
      <c r="L498" s="433">
        <f t="shared" si="36"/>
        <v>2.5</v>
      </c>
      <c r="M498" s="433">
        <f t="shared" si="37"/>
        <v>0</v>
      </c>
      <c r="N498" s="672"/>
      <c r="O498" s="729">
        <f>IF(N498="",0,N498*K498/'9b-Vloeronderhoud'!$F$4)</f>
        <v>0</v>
      </c>
      <c r="P498" s="672"/>
      <c r="Q498" s="729" t="e">
        <f>IF(O498="",0,P498*L498/'9b-Vloeronderhoud'!$F$6)</f>
        <v>#DIV/0!</v>
      </c>
      <c r="R498" s="449">
        <v>1</v>
      </c>
      <c r="S498" s="672">
        <v>80</v>
      </c>
      <c r="T498" s="161" t="e">
        <f t="shared" si="38"/>
        <v>#DIV/0!</v>
      </c>
      <c r="U498" s="162">
        <f>IF(S498="nio",0,IF(S498&gt;0,VLOOKUP(G498,'3-Productie normen'!A:K,VLOOKUP(S498,'3-Productie normen'!L:N,3,FALSE),FALSE)))</f>
        <v>0</v>
      </c>
      <c r="V498" s="162">
        <f>VLOOKUP(G498,'3-Productie normen'!A:K,10,FALSE)</f>
        <v>519.460002565384</v>
      </c>
      <c r="W498" s="163">
        <f>VLOOKUP(G498,'3-Productie normen'!A:K,11,FALSE)</f>
        <v>0</v>
      </c>
      <c r="X498" s="163"/>
      <c r="Z498" s="129">
        <f t="shared" si="39"/>
        <v>200</v>
      </c>
    </row>
    <row r="499" spans="1:26" ht="14.1" customHeight="1">
      <c r="A499" s="144">
        <v>505</v>
      </c>
      <c r="B499" s="485" t="s">
        <v>255</v>
      </c>
      <c r="C499" s="303" t="s">
        <v>782</v>
      </c>
      <c r="D499" s="304" t="s">
        <v>98</v>
      </c>
      <c r="E499" s="694" t="s">
        <v>307</v>
      </c>
      <c r="F499" s="303" t="s">
        <v>543</v>
      </c>
      <c r="G499" s="460" t="s">
        <v>881</v>
      </c>
      <c r="H499" s="534" t="s">
        <v>101</v>
      </c>
      <c r="I499" s="582" t="str">
        <f>VLOOKUP(H499,'9a-Typen vloeren'!$A$10:$B$40,2,FALSE)</f>
        <v>Schrobben</v>
      </c>
      <c r="J499" s="588">
        <v>3</v>
      </c>
      <c r="K499" s="433">
        <f t="shared" si="35"/>
        <v>0</v>
      </c>
      <c r="L499" s="433">
        <f t="shared" si="36"/>
        <v>0</v>
      </c>
      <c r="M499" s="433">
        <f t="shared" si="37"/>
        <v>0</v>
      </c>
      <c r="N499" s="672"/>
      <c r="O499" s="729">
        <f>IF(N499="",0,N499*K499/'9b-Vloeronderhoud'!$F$4)</f>
        <v>0</v>
      </c>
      <c r="P499" s="672"/>
      <c r="Q499" s="729" t="e">
        <f>IF(O499="",0,P499*L499/'9b-Vloeronderhoud'!$F$6)</f>
        <v>#DIV/0!</v>
      </c>
      <c r="R499" s="449">
        <v>1</v>
      </c>
      <c r="S499" s="672" t="s">
        <v>179</v>
      </c>
      <c r="T499" s="161">
        <f t="shared" si="38"/>
        <v>0</v>
      </c>
      <c r="U499" s="162">
        <f>IF(S499="nio",0,IF(S499&gt;0,VLOOKUP(G499,'3-Productie normen'!A:K,VLOOKUP(S499,'3-Productie normen'!L:N,3,FALSE),FALSE)))</f>
        <v>0</v>
      </c>
      <c r="V499" s="162">
        <f>VLOOKUP(G499,'3-Productie normen'!A:K,10,FALSE)</f>
        <v>5262.809993648526</v>
      </c>
      <c r="W499" s="163">
        <f>VLOOKUP(G499,'3-Productie normen'!A:K,11,FALSE)</f>
        <v>0</v>
      </c>
      <c r="X499" s="163"/>
      <c r="Z499" s="129">
        <f t="shared" si="39"/>
        <v>0</v>
      </c>
    </row>
    <row r="500" spans="1:26" ht="14.1" customHeight="1">
      <c r="A500" s="144">
        <v>506</v>
      </c>
      <c r="B500" s="485" t="s">
        <v>255</v>
      </c>
      <c r="C500" s="303" t="s">
        <v>782</v>
      </c>
      <c r="D500" s="304" t="s">
        <v>98</v>
      </c>
      <c r="E500" s="694" t="s">
        <v>309</v>
      </c>
      <c r="F500" s="126" t="s">
        <v>302</v>
      </c>
      <c r="G500" s="303" t="s">
        <v>18</v>
      </c>
      <c r="H500" s="534" t="s">
        <v>954</v>
      </c>
      <c r="I500" s="582" t="str">
        <f>VLOOKUP(H500,'9a-Typen vloeren'!$A$10:$B$40,2,FALSE)</f>
        <v>zie kwaliteitsontwerp</v>
      </c>
      <c r="J500" s="588">
        <v>9.1999998092651367</v>
      </c>
      <c r="K500" s="433">
        <f t="shared" si="35"/>
        <v>0</v>
      </c>
      <c r="L500" s="433">
        <f t="shared" si="36"/>
        <v>0</v>
      </c>
      <c r="M500" s="433">
        <f t="shared" si="37"/>
        <v>0</v>
      </c>
      <c r="N500" s="672"/>
      <c r="O500" s="729">
        <f>IF(N500="",0,N500*K500/'9b-Vloeronderhoud'!$F$4)</f>
        <v>0</v>
      </c>
      <c r="P500" s="672"/>
      <c r="Q500" s="729" t="e">
        <f>IF(O500="",0,P500*L500/'9b-Vloeronderhoud'!$F$6)</f>
        <v>#DIV/0!</v>
      </c>
      <c r="R500" s="449">
        <v>1</v>
      </c>
      <c r="S500" s="672">
        <v>190</v>
      </c>
      <c r="T500" s="161" t="e">
        <f t="shared" si="38"/>
        <v>#DIV/0!</v>
      </c>
      <c r="U500" s="162">
        <f>IF(S500="nio",0,IF(S500&gt;0,VLOOKUP(G500,'3-Productie normen'!A:K,VLOOKUP(S500,'3-Productie normen'!L:N,3,FALSE),FALSE)))</f>
        <v>0</v>
      </c>
      <c r="V500" s="162">
        <f>VLOOKUP(G500,'3-Productie normen'!A:K,10,FALSE)</f>
        <v>1859.5880019121171</v>
      </c>
      <c r="W500" s="163">
        <f>VLOOKUP(G500,'3-Productie normen'!A:K,11,FALSE)</f>
        <v>0</v>
      </c>
      <c r="X500" s="163"/>
      <c r="Z500" s="129">
        <f t="shared" si="39"/>
        <v>1747.999963760376</v>
      </c>
    </row>
    <row r="501" spans="1:26" ht="14.1" customHeight="1">
      <c r="A501" s="144">
        <v>507</v>
      </c>
      <c r="B501" s="485" t="s">
        <v>255</v>
      </c>
      <c r="C501" s="303" t="s">
        <v>782</v>
      </c>
      <c r="D501" s="304" t="s">
        <v>98</v>
      </c>
      <c r="E501" s="694" t="s">
        <v>311</v>
      </c>
      <c r="F501" s="303" t="s">
        <v>346</v>
      </c>
      <c r="G501" s="460" t="s">
        <v>881</v>
      </c>
      <c r="H501" s="534" t="s">
        <v>101</v>
      </c>
      <c r="I501" s="582" t="str">
        <f>VLOOKUP(H501,'9a-Typen vloeren'!$A$10:$B$40,2,FALSE)</f>
        <v>Schrobben</v>
      </c>
      <c r="J501" s="588">
        <v>2.0999999046325684</v>
      </c>
      <c r="K501" s="433">
        <f t="shared" si="35"/>
        <v>0</v>
      </c>
      <c r="L501" s="433">
        <f t="shared" si="36"/>
        <v>0</v>
      </c>
      <c r="M501" s="433">
        <f t="shared" si="37"/>
        <v>0</v>
      </c>
      <c r="N501" s="672"/>
      <c r="O501" s="729">
        <f>IF(N501="",0,N501*K501/'9b-Vloeronderhoud'!$F$4)</f>
        <v>0</v>
      </c>
      <c r="P501" s="672"/>
      <c r="Q501" s="729" t="e">
        <f>IF(O501="",0,P501*L501/'9b-Vloeronderhoud'!$F$6)</f>
        <v>#DIV/0!</v>
      </c>
      <c r="R501" s="449">
        <v>1</v>
      </c>
      <c r="S501" s="672" t="s">
        <v>179</v>
      </c>
      <c r="T501" s="161">
        <f t="shared" si="38"/>
        <v>0</v>
      </c>
      <c r="U501" s="162">
        <f>IF(S501="nio",0,IF(S501&gt;0,VLOOKUP(G501,'3-Productie normen'!A:K,VLOOKUP(S501,'3-Productie normen'!L:N,3,FALSE),FALSE)))</f>
        <v>0</v>
      </c>
      <c r="V501" s="162">
        <f>VLOOKUP(G501,'3-Productie normen'!A:K,10,FALSE)</f>
        <v>5262.809993648526</v>
      </c>
      <c r="W501" s="163">
        <f>VLOOKUP(G501,'3-Productie normen'!A:K,11,FALSE)</f>
        <v>0</v>
      </c>
      <c r="X501" s="163"/>
      <c r="Z501" s="129">
        <f t="shared" si="39"/>
        <v>0</v>
      </c>
    </row>
    <row r="502" spans="1:26" ht="14.1" customHeight="1">
      <c r="A502" s="144">
        <v>508</v>
      </c>
      <c r="B502" s="485" t="s">
        <v>255</v>
      </c>
      <c r="C502" s="303" t="s">
        <v>782</v>
      </c>
      <c r="D502" s="304" t="s">
        <v>98</v>
      </c>
      <c r="E502" s="694" t="s">
        <v>312</v>
      </c>
      <c r="F502" s="303" t="s">
        <v>283</v>
      </c>
      <c r="G502" s="303" t="s">
        <v>286</v>
      </c>
      <c r="H502" s="534" t="s">
        <v>101</v>
      </c>
      <c r="I502" s="582" t="str">
        <f>VLOOKUP(H502,'9a-Typen vloeren'!$A$10:$B$40,2,FALSE)</f>
        <v>Schrobben</v>
      </c>
      <c r="J502" s="588">
        <v>42.400001525878906</v>
      </c>
      <c r="K502" s="433">
        <f t="shared" si="35"/>
        <v>0</v>
      </c>
      <c r="L502" s="433">
        <f t="shared" si="36"/>
        <v>42.400001525878906</v>
      </c>
      <c r="M502" s="433">
        <f t="shared" si="37"/>
        <v>0</v>
      </c>
      <c r="N502" s="672"/>
      <c r="O502" s="729">
        <f>IF(N502="",0,N502*K502/'9b-Vloeronderhoud'!$F$4)</f>
        <v>0</v>
      </c>
      <c r="P502" s="672">
        <v>3</v>
      </c>
      <c r="Q502" s="729" t="e">
        <f>IF(O502="",0,P502*L502/'9b-Vloeronderhoud'!$F$6)</f>
        <v>#DIV/0!</v>
      </c>
      <c r="R502" s="449">
        <v>1</v>
      </c>
      <c r="S502" s="672">
        <v>120</v>
      </c>
      <c r="T502" s="161" t="e">
        <f t="shared" si="38"/>
        <v>#DIV/0!</v>
      </c>
      <c r="U502" s="162">
        <f>IF(S502="nio",0,IF(S502&gt;0,VLOOKUP(G502,'3-Productie normen'!A:K,VLOOKUP(S502,'3-Productie normen'!L:N,3,FALSE),FALSE)))</f>
        <v>0</v>
      </c>
      <c r="V502" s="162">
        <f>VLOOKUP(G502,'3-Productie normen'!A:K,10,FALSE)</f>
        <v>6152.9500017547598</v>
      </c>
      <c r="W502" s="163">
        <f>VLOOKUP(G502,'3-Productie normen'!A:K,11,FALSE)</f>
        <v>0</v>
      </c>
      <c r="X502" s="163"/>
      <c r="Z502" s="129">
        <f t="shared" si="39"/>
        <v>5088.0001831054688</v>
      </c>
    </row>
    <row r="503" spans="1:26" ht="14.1" customHeight="1">
      <c r="A503" s="144">
        <v>509</v>
      </c>
      <c r="B503" s="485" t="s">
        <v>255</v>
      </c>
      <c r="C503" s="303" t="s">
        <v>782</v>
      </c>
      <c r="D503" s="304" t="s">
        <v>98</v>
      </c>
      <c r="E503" s="694" t="s">
        <v>314</v>
      </c>
      <c r="F503" s="303" t="s">
        <v>470</v>
      </c>
      <c r="G503" s="303" t="s">
        <v>221</v>
      </c>
      <c r="H503" s="534" t="s">
        <v>100</v>
      </c>
      <c r="I503" s="582" t="str">
        <f>VLOOKUP(H503,'9a-Typen vloeren'!$A$10:$B$40,2,FALSE)</f>
        <v>Sprayen/ conserveren</v>
      </c>
      <c r="J503" s="588">
        <v>27.700000762939453</v>
      </c>
      <c r="K503" s="433">
        <f t="shared" si="35"/>
        <v>27.700000762939453</v>
      </c>
      <c r="L503" s="433">
        <f t="shared" si="36"/>
        <v>0</v>
      </c>
      <c r="M503" s="433">
        <f t="shared" si="37"/>
        <v>0</v>
      </c>
      <c r="N503" s="672"/>
      <c r="O503" s="729">
        <f>IF(N503="",0,N503*K503/'9b-Vloeronderhoud'!$F$4)</f>
        <v>0</v>
      </c>
      <c r="P503" s="672"/>
      <c r="Q503" s="729" t="e">
        <f>IF(O503="",0,P503*L503/'9b-Vloeronderhoud'!$F$6)</f>
        <v>#DIV/0!</v>
      </c>
      <c r="R503" s="449">
        <v>1</v>
      </c>
      <c r="S503" s="672">
        <v>80</v>
      </c>
      <c r="T503" s="161" t="e">
        <f t="shared" si="38"/>
        <v>#DIV/0!</v>
      </c>
      <c r="U503" s="162">
        <f>IF(S503="nio",0,IF(S503&gt;0,VLOOKUP(G503,'3-Productie normen'!A:K,VLOOKUP(S503,'3-Productie normen'!L:N,3,FALSE),FALSE)))</f>
        <v>0</v>
      </c>
      <c r="V503" s="162">
        <f>VLOOKUP(G503,'3-Productie normen'!A:K,10,FALSE)</f>
        <v>16013.110036668773</v>
      </c>
      <c r="W503" s="163">
        <f>VLOOKUP(G503,'3-Productie normen'!A:K,11,FALSE)</f>
        <v>0</v>
      </c>
      <c r="X503" s="163"/>
      <c r="Z503" s="129">
        <f t="shared" si="39"/>
        <v>2216.0000610351563</v>
      </c>
    </row>
    <row r="504" spans="1:26" ht="14.1" customHeight="1">
      <c r="A504" s="144">
        <v>510</v>
      </c>
      <c r="B504" s="485" t="s">
        <v>255</v>
      </c>
      <c r="C504" s="303" t="s">
        <v>782</v>
      </c>
      <c r="D504" s="304" t="s">
        <v>98</v>
      </c>
      <c r="E504" s="694" t="s">
        <v>315</v>
      </c>
      <c r="F504" s="303" t="s">
        <v>344</v>
      </c>
      <c r="G504" s="460" t="s">
        <v>221</v>
      </c>
      <c r="H504" s="303" t="s">
        <v>332</v>
      </c>
      <c r="I504" s="582" t="str">
        <f>VLOOKUP(H504,'9a-Typen vloeren'!$A$10:$B$40,2,FALSE)</f>
        <v>Sproei/extraheren</v>
      </c>
      <c r="J504" s="588">
        <v>17.5</v>
      </c>
      <c r="K504" s="433">
        <f t="shared" si="35"/>
        <v>0</v>
      </c>
      <c r="L504" s="433">
        <f t="shared" si="36"/>
        <v>0</v>
      </c>
      <c r="M504" s="433">
        <f t="shared" si="37"/>
        <v>17.5</v>
      </c>
      <c r="N504" s="672"/>
      <c r="O504" s="729">
        <f>IF(N504="",0,N504*K504/'9b-Vloeronderhoud'!$F$4)</f>
        <v>0</v>
      </c>
      <c r="P504" s="672"/>
      <c r="Q504" s="729" t="e">
        <f>IF(O504="",0,P504*L504/'9b-Vloeronderhoud'!$F$6)</f>
        <v>#DIV/0!</v>
      </c>
      <c r="R504" s="449">
        <v>1</v>
      </c>
      <c r="S504" s="672">
        <v>80</v>
      </c>
      <c r="T504" s="161" t="e">
        <f t="shared" si="38"/>
        <v>#DIV/0!</v>
      </c>
      <c r="U504" s="162">
        <f>IF(S504="nio",0,IF(S504&gt;0,VLOOKUP(G504,'3-Productie normen'!A:K,VLOOKUP(S504,'3-Productie normen'!L:N,3,FALSE),FALSE)))</f>
        <v>0</v>
      </c>
      <c r="V504" s="162">
        <f>VLOOKUP(G504,'3-Productie normen'!A:K,10,FALSE)</f>
        <v>16013.110036668773</v>
      </c>
      <c r="W504" s="163">
        <f>VLOOKUP(G504,'3-Productie normen'!A:K,11,FALSE)</f>
        <v>0</v>
      </c>
      <c r="X504" s="163"/>
      <c r="Z504" s="129">
        <f t="shared" si="39"/>
        <v>1400</v>
      </c>
    </row>
    <row r="505" spans="1:26" ht="14.1" customHeight="1">
      <c r="A505" s="144">
        <v>511</v>
      </c>
      <c r="B505" s="485" t="s">
        <v>255</v>
      </c>
      <c r="C505" s="303" t="s">
        <v>782</v>
      </c>
      <c r="D505" s="304" t="s">
        <v>98</v>
      </c>
      <c r="E505" s="694" t="s">
        <v>317</v>
      </c>
      <c r="F505" s="303" t="s">
        <v>556</v>
      </c>
      <c r="G505" s="460" t="s">
        <v>299</v>
      </c>
      <c r="H505" s="303" t="s">
        <v>332</v>
      </c>
      <c r="I505" s="582" t="str">
        <f>VLOOKUP(H505,'9a-Typen vloeren'!$A$10:$B$40,2,FALSE)</f>
        <v>Sproei/extraheren</v>
      </c>
      <c r="J505" s="588">
        <v>27.899999618530273</v>
      </c>
      <c r="K505" s="433">
        <f t="shared" si="35"/>
        <v>0</v>
      </c>
      <c r="L505" s="433">
        <f t="shared" si="36"/>
        <v>0</v>
      </c>
      <c r="M505" s="433">
        <f t="shared" si="37"/>
        <v>27.899999618530273</v>
      </c>
      <c r="N505" s="672"/>
      <c r="O505" s="729">
        <f>IF(N505="",0,N505*K505/'9b-Vloeronderhoud'!$F$4)</f>
        <v>0</v>
      </c>
      <c r="P505" s="672"/>
      <c r="Q505" s="729" t="e">
        <f>IF(O505="",0,P505*L505/'9b-Vloeronderhoud'!$F$6)</f>
        <v>#DIV/0!</v>
      </c>
      <c r="R505" s="449">
        <v>1</v>
      </c>
      <c r="S505" s="672">
        <v>40</v>
      </c>
      <c r="T505" s="161" t="e">
        <f t="shared" si="38"/>
        <v>#DIV/0!</v>
      </c>
      <c r="U505" s="162">
        <f>IF(S505="nio",0,IF(S505&gt;0,VLOOKUP(G505,'3-Productie normen'!A:K,VLOOKUP(S505,'3-Productie normen'!L:N,3,FALSE),FALSE)))</f>
        <v>0</v>
      </c>
      <c r="V505" s="162">
        <f>VLOOKUP(G505,'3-Productie normen'!A:K,10,FALSE)</f>
        <v>1107.9100014114381</v>
      </c>
      <c r="W505" s="163">
        <f>VLOOKUP(G505,'3-Productie normen'!A:K,11,FALSE)</f>
        <v>0</v>
      </c>
      <c r="X505" s="163"/>
      <c r="Z505" s="129">
        <f t="shared" si="39"/>
        <v>1115.9999847412109</v>
      </c>
    </row>
    <row r="506" spans="1:26" ht="14.1" customHeight="1">
      <c r="A506" s="144">
        <v>512</v>
      </c>
      <c r="B506" s="485" t="s">
        <v>255</v>
      </c>
      <c r="C506" s="303" t="s">
        <v>782</v>
      </c>
      <c r="D506" s="304" t="s">
        <v>98</v>
      </c>
      <c r="E506" s="694" t="s">
        <v>318</v>
      </c>
      <c r="F506" s="303" t="s">
        <v>283</v>
      </c>
      <c r="G506" s="303" t="s">
        <v>286</v>
      </c>
      <c r="H506" s="534" t="s">
        <v>100</v>
      </c>
      <c r="I506" s="582" t="str">
        <f>VLOOKUP(H506,'9a-Typen vloeren'!$A$10:$B$40,2,FALSE)</f>
        <v>Sprayen/ conserveren</v>
      </c>
      <c r="J506" s="588">
        <v>37.700000762939453</v>
      </c>
      <c r="K506" s="433">
        <f t="shared" si="35"/>
        <v>37.700000762939453</v>
      </c>
      <c r="L506" s="433">
        <f t="shared" si="36"/>
        <v>0</v>
      </c>
      <c r="M506" s="433">
        <f t="shared" si="37"/>
        <v>0</v>
      </c>
      <c r="N506" s="672">
        <v>2</v>
      </c>
      <c r="O506" s="729" t="e">
        <f>IF(N506="",0,N506*K506/'9b-Vloeronderhoud'!$F$4)</f>
        <v>#DIV/0!</v>
      </c>
      <c r="P506" s="672"/>
      <c r="Q506" s="729" t="e">
        <f>IF(O506="",0,P506*L506/'9b-Vloeronderhoud'!$F$6)</f>
        <v>#DIV/0!</v>
      </c>
      <c r="R506" s="449">
        <v>1</v>
      </c>
      <c r="S506" s="672">
        <v>120</v>
      </c>
      <c r="T506" s="161" t="e">
        <f t="shared" si="38"/>
        <v>#DIV/0!</v>
      </c>
      <c r="U506" s="162">
        <f>IF(S506="nio",0,IF(S506&gt;0,VLOOKUP(G506,'3-Productie normen'!A:K,VLOOKUP(S506,'3-Productie normen'!L:N,3,FALSE),FALSE)))</f>
        <v>0</v>
      </c>
      <c r="V506" s="162">
        <f>VLOOKUP(G506,'3-Productie normen'!A:K,10,FALSE)</f>
        <v>6152.9500017547598</v>
      </c>
      <c r="W506" s="163">
        <f>VLOOKUP(G506,'3-Productie normen'!A:K,11,FALSE)</f>
        <v>0</v>
      </c>
      <c r="X506" s="163"/>
      <c r="Z506" s="129">
        <f t="shared" si="39"/>
        <v>4524.0000915527344</v>
      </c>
    </row>
    <row r="507" spans="1:26" ht="14.1" customHeight="1">
      <c r="A507" s="144">
        <v>513</v>
      </c>
      <c r="B507" s="485" t="s">
        <v>255</v>
      </c>
      <c r="C507" s="303" t="s">
        <v>782</v>
      </c>
      <c r="D507" s="304" t="s">
        <v>98</v>
      </c>
      <c r="E507" s="694" t="s">
        <v>783</v>
      </c>
      <c r="F507" s="303" t="s">
        <v>221</v>
      </c>
      <c r="G507" s="303" t="s">
        <v>221</v>
      </c>
      <c r="H507" s="534" t="s">
        <v>100</v>
      </c>
      <c r="I507" s="582" t="str">
        <f>VLOOKUP(H507,'9a-Typen vloeren'!$A$10:$B$40,2,FALSE)</f>
        <v>Sprayen/ conserveren</v>
      </c>
      <c r="J507" s="588">
        <v>47.049999237060547</v>
      </c>
      <c r="K507" s="433">
        <f t="shared" si="35"/>
        <v>47.049999237060547</v>
      </c>
      <c r="L507" s="433">
        <f t="shared" si="36"/>
        <v>0</v>
      </c>
      <c r="M507" s="433">
        <f t="shared" si="37"/>
        <v>0</v>
      </c>
      <c r="N507" s="672"/>
      <c r="O507" s="729">
        <f>IF(N507="",0,N507*K507/'9b-Vloeronderhoud'!$F$4)</f>
        <v>0</v>
      </c>
      <c r="P507" s="672"/>
      <c r="Q507" s="729" t="e">
        <f>IF(O507="",0,P507*L507/'9b-Vloeronderhoud'!$F$6)</f>
        <v>#DIV/0!</v>
      </c>
      <c r="R507" s="449">
        <v>1</v>
      </c>
      <c r="S507" s="672">
        <v>80</v>
      </c>
      <c r="T507" s="161" t="e">
        <f t="shared" si="38"/>
        <v>#DIV/0!</v>
      </c>
      <c r="U507" s="162">
        <f>IF(S507="nio",0,IF(S507&gt;0,VLOOKUP(G507,'3-Productie normen'!A:K,VLOOKUP(S507,'3-Productie normen'!L:N,3,FALSE),FALSE)))</f>
        <v>0</v>
      </c>
      <c r="V507" s="162">
        <f>VLOOKUP(G507,'3-Productie normen'!A:K,10,FALSE)</f>
        <v>16013.110036668773</v>
      </c>
      <c r="W507" s="163">
        <f>VLOOKUP(G507,'3-Productie normen'!A:K,11,FALSE)</f>
        <v>0</v>
      </c>
      <c r="X507" s="163"/>
      <c r="Z507" s="129">
        <f t="shared" si="39"/>
        <v>3763.9999389648438</v>
      </c>
    </row>
    <row r="508" spans="1:26" ht="14.1" customHeight="1">
      <c r="A508" s="144">
        <v>514</v>
      </c>
      <c r="B508" s="485" t="s">
        <v>255</v>
      </c>
      <c r="C508" s="303" t="s">
        <v>782</v>
      </c>
      <c r="D508" s="304" t="s">
        <v>98</v>
      </c>
      <c r="E508" s="694" t="s">
        <v>784</v>
      </c>
      <c r="F508" s="303" t="s">
        <v>221</v>
      </c>
      <c r="G508" s="303" t="s">
        <v>221</v>
      </c>
      <c r="H508" s="303" t="s">
        <v>332</v>
      </c>
      <c r="I508" s="582" t="str">
        <f>VLOOKUP(H508,'9a-Typen vloeren'!$A$10:$B$40,2,FALSE)</f>
        <v>Sproei/extraheren</v>
      </c>
      <c r="J508" s="588">
        <v>23.549999237060547</v>
      </c>
      <c r="K508" s="433">
        <f t="shared" si="35"/>
        <v>0</v>
      </c>
      <c r="L508" s="433">
        <f t="shared" si="36"/>
        <v>0</v>
      </c>
      <c r="M508" s="433">
        <f t="shared" si="37"/>
        <v>23.549999237060547</v>
      </c>
      <c r="N508" s="672"/>
      <c r="O508" s="729">
        <f>IF(N508="",0,N508*K508/'9b-Vloeronderhoud'!$F$4)</f>
        <v>0</v>
      </c>
      <c r="P508" s="672"/>
      <c r="Q508" s="729" t="e">
        <f>IF(O508="",0,P508*L508/'9b-Vloeronderhoud'!$F$6)</f>
        <v>#DIV/0!</v>
      </c>
      <c r="R508" s="449">
        <v>1</v>
      </c>
      <c r="S508" s="672">
        <v>80</v>
      </c>
      <c r="T508" s="161" t="e">
        <f t="shared" si="38"/>
        <v>#DIV/0!</v>
      </c>
      <c r="U508" s="162">
        <f>IF(S508="nio",0,IF(S508&gt;0,VLOOKUP(G508,'3-Productie normen'!A:K,VLOOKUP(S508,'3-Productie normen'!L:N,3,FALSE),FALSE)))</f>
        <v>0</v>
      </c>
      <c r="V508" s="162">
        <f>VLOOKUP(G508,'3-Productie normen'!A:K,10,FALSE)</f>
        <v>16013.110036668773</v>
      </c>
      <c r="W508" s="163">
        <f>VLOOKUP(G508,'3-Productie normen'!A:K,11,FALSE)</f>
        <v>0</v>
      </c>
      <c r="X508" s="163"/>
      <c r="Z508" s="129">
        <f t="shared" si="39"/>
        <v>1883.9999389648438</v>
      </c>
    </row>
    <row r="509" spans="1:26" ht="14.1" customHeight="1">
      <c r="A509" s="144">
        <v>515</v>
      </c>
      <c r="B509" s="485" t="s">
        <v>255</v>
      </c>
      <c r="C509" s="303" t="s">
        <v>782</v>
      </c>
      <c r="D509" s="304" t="s">
        <v>98</v>
      </c>
      <c r="E509" s="701" t="s">
        <v>320</v>
      </c>
      <c r="F509" s="516" t="s">
        <v>302</v>
      </c>
      <c r="G509" s="546" t="s">
        <v>18</v>
      </c>
      <c r="H509" s="534" t="s">
        <v>954</v>
      </c>
      <c r="I509" s="582" t="str">
        <f>VLOOKUP(H509,'9a-Typen vloeren'!$A$10:$B$40,2,FALSE)</f>
        <v>zie kwaliteitsontwerp</v>
      </c>
      <c r="J509" s="588">
        <v>11.399999618530273</v>
      </c>
      <c r="K509" s="433">
        <f t="shared" si="35"/>
        <v>0</v>
      </c>
      <c r="L509" s="433">
        <f t="shared" si="36"/>
        <v>0</v>
      </c>
      <c r="M509" s="433">
        <f t="shared" si="37"/>
        <v>0</v>
      </c>
      <c r="N509" s="672"/>
      <c r="O509" s="729">
        <f>IF(N509="",0,N509*K509/'9b-Vloeronderhoud'!$F$4)</f>
        <v>0</v>
      </c>
      <c r="P509" s="672"/>
      <c r="Q509" s="729" t="e">
        <f>IF(O509="",0,P509*L509/'9b-Vloeronderhoud'!$F$6)</f>
        <v>#DIV/0!</v>
      </c>
      <c r="R509" s="449">
        <v>1</v>
      </c>
      <c r="S509" s="672">
        <v>190</v>
      </c>
      <c r="T509" s="161" t="e">
        <f t="shared" si="38"/>
        <v>#DIV/0!</v>
      </c>
      <c r="U509" s="162">
        <f>IF(S509="nio",0,IF(S509&gt;0,VLOOKUP(G509,'3-Productie normen'!A:K,VLOOKUP(S509,'3-Productie normen'!L:N,3,FALSE),FALSE)))</f>
        <v>0</v>
      </c>
      <c r="V509" s="162">
        <f>VLOOKUP(G509,'3-Productie normen'!A:K,10,FALSE)</f>
        <v>1859.5880019121171</v>
      </c>
      <c r="W509" s="163">
        <f>VLOOKUP(G509,'3-Productie normen'!A:K,11,FALSE)</f>
        <v>0</v>
      </c>
      <c r="X509" s="163"/>
      <c r="Z509" s="129">
        <f t="shared" si="39"/>
        <v>2165.999927520752</v>
      </c>
    </row>
    <row r="510" spans="1:26" ht="14.1" customHeight="1">
      <c r="A510" s="144">
        <v>516</v>
      </c>
      <c r="B510" s="485" t="s">
        <v>255</v>
      </c>
      <c r="C510" s="303" t="s">
        <v>782</v>
      </c>
      <c r="D510" s="304" t="s">
        <v>98</v>
      </c>
      <c r="E510" s="701" t="s">
        <v>321</v>
      </c>
      <c r="F510" s="516" t="s">
        <v>284</v>
      </c>
      <c r="G510" s="460" t="s">
        <v>99</v>
      </c>
      <c r="H510" s="534" t="s">
        <v>100</v>
      </c>
      <c r="I510" s="582" t="str">
        <f>VLOOKUP(H510,'9a-Typen vloeren'!$A$10:$B$40,2,FALSE)</f>
        <v>Sprayen/ conserveren</v>
      </c>
      <c r="J510" s="588">
        <v>10.800000190734863</v>
      </c>
      <c r="K510" s="433">
        <f t="shared" si="35"/>
        <v>10.800000190734863</v>
      </c>
      <c r="L510" s="433">
        <f t="shared" si="36"/>
        <v>0</v>
      </c>
      <c r="M510" s="433">
        <f t="shared" si="37"/>
        <v>0</v>
      </c>
      <c r="N510" s="672">
        <v>2</v>
      </c>
      <c r="O510" s="729" t="e">
        <f>IF(N510="",0,N510*K510/'9b-Vloeronderhoud'!$F$4)</f>
        <v>#DIV/0!</v>
      </c>
      <c r="P510" s="672"/>
      <c r="Q510" s="729" t="e">
        <f>IF(O510="",0,P510*L510/'9b-Vloeronderhoud'!$F$6)</f>
        <v>#DIV/0!</v>
      </c>
      <c r="R510" s="449">
        <v>1</v>
      </c>
      <c r="S510" s="672">
        <v>190</v>
      </c>
      <c r="T510" s="161" t="e">
        <f t="shared" si="38"/>
        <v>#DIV/0!</v>
      </c>
      <c r="U510" s="162">
        <f>IF(S510="nio",0,IF(S510&gt;0,VLOOKUP(G510,'3-Productie normen'!A:K,VLOOKUP(S510,'3-Productie normen'!L:N,3,FALSE),FALSE)))</f>
        <v>0</v>
      </c>
      <c r="V510" s="162">
        <f>VLOOKUP(G510,'3-Productie normen'!A:K,10,FALSE)</f>
        <v>726.97999910354622</v>
      </c>
      <c r="W510" s="163">
        <f>VLOOKUP(G510,'3-Productie normen'!A:K,11,FALSE)</f>
        <v>0</v>
      </c>
      <c r="X510" s="163"/>
      <c r="Z510" s="129">
        <f t="shared" si="39"/>
        <v>2052.000036239624</v>
      </c>
    </row>
    <row r="511" spans="1:26" ht="14.1" customHeight="1">
      <c r="A511" s="144">
        <v>517</v>
      </c>
      <c r="B511" s="485" t="s">
        <v>255</v>
      </c>
      <c r="C511" s="303" t="s">
        <v>782</v>
      </c>
      <c r="D511" s="304" t="s">
        <v>98</v>
      </c>
      <c r="E511" s="694" t="s">
        <v>323</v>
      </c>
      <c r="F511" s="303" t="s">
        <v>346</v>
      </c>
      <c r="G511" s="460" t="s">
        <v>881</v>
      </c>
      <c r="H511" s="534" t="s">
        <v>375</v>
      </c>
      <c r="I511" s="582" t="str">
        <f>VLOOKUP(H511,'9a-Typen vloeren'!$A$10:$B$40,2,FALSE)</f>
        <v>n.v.t.</v>
      </c>
      <c r="J511" s="588">
        <v>2.0999999046325684</v>
      </c>
      <c r="K511" s="433">
        <f t="shared" si="35"/>
        <v>0</v>
      </c>
      <c r="L511" s="433">
        <f t="shared" si="36"/>
        <v>0</v>
      </c>
      <c r="M511" s="433">
        <f t="shared" si="37"/>
        <v>0</v>
      </c>
      <c r="N511" s="672"/>
      <c r="O511" s="729">
        <f>IF(N511="",0,N511*K511/'9b-Vloeronderhoud'!$F$4)</f>
        <v>0</v>
      </c>
      <c r="P511" s="672"/>
      <c r="Q511" s="729" t="e">
        <f>IF(O511="",0,P511*L511/'9b-Vloeronderhoud'!$F$6)</f>
        <v>#DIV/0!</v>
      </c>
      <c r="R511" s="449">
        <v>1</v>
      </c>
      <c r="S511" s="672" t="s">
        <v>179</v>
      </c>
      <c r="T511" s="161">
        <f t="shared" si="38"/>
        <v>0</v>
      </c>
      <c r="U511" s="162">
        <f>IF(S511="nio",0,IF(S511&gt;0,VLOOKUP(G511,'3-Productie normen'!A:K,VLOOKUP(S511,'3-Productie normen'!L:N,3,FALSE),FALSE)))</f>
        <v>0</v>
      </c>
      <c r="V511" s="162">
        <f>VLOOKUP(G511,'3-Productie normen'!A:K,10,FALSE)</f>
        <v>5262.809993648526</v>
      </c>
      <c r="W511" s="163">
        <f>VLOOKUP(G511,'3-Productie normen'!A:K,11,FALSE)</f>
        <v>0</v>
      </c>
      <c r="X511" s="163"/>
      <c r="Z511" s="129">
        <f t="shared" si="39"/>
        <v>0</v>
      </c>
    </row>
    <row r="512" spans="1:26" ht="14.1" customHeight="1">
      <c r="A512" s="144">
        <v>518</v>
      </c>
      <c r="B512" s="485" t="s">
        <v>255</v>
      </c>
      <c r="C512" s="303" t="s">
        <v>782</v>
      </c>
      <c r="D512" s="304" t="s">
        <v>98</v>
      </c>
      <c r="E512" s="694" t="s">
        <v>325</v>
      </c>
      <c r="F512" s="303" t="s">
        <v>221</v>
      </c>
      <c r="G512" s="546" t="s">
        <v>221</v>
      </c>
      <c r="H512" s="534" t="s">
        <v>100</v>
      </c>
      <c r="I512" s="582" t="str">
        <f>VLOOKUP(H512,'9a-Typen vloeren'!$A$10:$B$40,2,FALSE)</f>
        <v>Sprayen/ conserveren</v>
      </c>
      <c r="J512" s="588">
        <v>65.199996948242188</v>
      </c>
      <c r="K512" s="433">
        <f t="shared" si="35"/>
        <v>65.199996948242188</v>
      </c>
      <c r="L512" s="433">
        <f t="shared" si="36"/>
        <v>0</v>
      </c>
      <c r="M512" s="433">
        <f t="shared" si="37"/>
        <v>0</v>
      </c>
      <c r="N512" s="672"/>
      <c r="O512" s="729">
        <f>IF(N512="",0,N512*K512/'9b-Vloeronderhoud'!$F$4)</f>
        <v>0</v>
      </c>
      <c r="P512" s="672"/>
      <c r="Q512" s="729" t="e">
        <f>IF(O512="",0,P512*L512/'9b-Vloeronderhoud'!$F$6)</f>
        <v>#DIV/0!</v>
      </c>
      <c r="R512" s="449">
        <v>1</v>
      </c>
      <c r="S512" s="672">
        <v>80</v>
      </c>
      <c r="T512" s="161" t="e">
        <f t="shared" si="38"/>
        <v>#DIV/0!</v>
      </c>
      <c r="U512" s="162">
        <f>IF(S512="nio",0,IF(S512&gt;0,VLOOKUP(G512,'3-Productie normen'!A:K,VLOOKUP(S512,'3-Productie normen'!L:N,3,FALSE),FALSE)))</f>
        <v>0</v>
      </c>
      <c r="V512" s="162">
        <f>VLOOKUP(G512,'3-Productie normen'!A:K,10,FALSE)</f>
        <v>16013.110036668773</v>
      </c>
      <c r="W512" s="163">
        <f>VLOOKUP(G512,'3-Productie normen'!A:K,11,FALSE)</f>
        <v>0</v>
      </c>
      <c r="X512" s="163"/>
      <c r="Z512" s="129">
        <f t="shared" si="39"/>
        <v>5215.999755859375</v>
      </c>
    </row>
    <row r="513" spans="1:26" ht="14.1" customHeight="1">
      <c r="A513" s="144">
        <v>519</v>
      </c>
      <c r="B513" s="485" t="s">
        <v>255</v>
      </c>
      <c r="C513" s="303" t="s">
        <v>782</v>
      </c>
      <c r="D513" s="304" t="s">
        <v>98</v>
      </c>
      <c r="E513" s="694" t="s">
        <v>326</v>
      </c>
      <c r="F513" s="303" t="s">
        <v>282</v>
      </c>
      <c r="G513" s="460" t="s">
        <v>881</v>
      </c>
      <c r="H513" s="534" t="s">
        <v>100</v>
      </c>
      <c r="I513" s="582" t="str">
        <f>VLOOKUP(H513,'9a-Typen vloeren'!$A$10:$B$40,2,FALSE)</f>
        <v>Sprayen/ conserveren</v>
      </c>
      <c r="J513" s="588">
        <v>11.5</v>
      </c>
      <c r="K513" s="433">
        <f t="shared" si="35"/>
        <v>0</v>
      </c>
      <c r="L513" s="433">
        <f t="shared" si="36"/>
        <v>0</v>
      </c>
      <c r="M513" s="433">
        <f t="shared" si="37"/>
        <v>0</v>
      </c>
      <c r="N513" s="672"/>
      <c r="O513" s="729">
        <f>IF(N513="",0,N513*K513/'9b-Vloeronderhoud'!$F$4)</f>
        <v>0</v>
      </c>
      <c r="P513" s="672"/>
      <c r="Q513" s="729" t="e">
        <f>IF(O513="",0,P513*L513/'9b-Vloeronderhoud'!$F$6)</f>
        <v>#DIV/0!</v>
      </c>
      <c r="R513" s="449">
        <v>1</v>
      </c>
      <c r="S513" s="672" t="s">
        <v>179</v>
      </c>
      <c r="T513" s="161">
        <f t="shared" si="38"/>
        <v>0</v>
      </c>
      <c r="U513" s="162">
        <f>IF(S513="nio",0,IF(S513&gt;0,VLOOKUP(G513,'3-Productie normen'!A:K,VLOOKUP(S513,'3-Productie normen'!L:N,3,FALSE),FALSE)))</f>
        <v>0</v>
      </c>
      <c r="V513" s="162">
        <f>VLOOKUP(G513,'3-Productie normen'!A:K,10,FALSE)</f>
        <v>5262.809993648526</v>
      </c>
      <c r="W513" s="163">
        <f>VLOOKUP(G513,'3-Productie normen'!A:K,11,FALSE)</f>
        <v>0</v>
      </c>
      <c r="X513" s="163"/>
      <c r="Z513" s="129">
        <f t="shared" si="39"/>
        <v>0</v>
      </c>
    </row>
    <row r="514" spans="1:26" ht="14.1" customHeight="1">
      <c r="A514" s="144">
        <v>520</v>
      </c>
      <c r="B514" s="485" t="s">
        <v>255</v>
      </c>
      <c r="C514" s="303" t="s">
        <v>782</v>
      </c>
      <c r="D514" s="304" t="s">
        <v>98</v>
      </c>
      <c r="E514" s="694" t="s">
        <v>328</v>
      </c>
      <c r="F514" s="303" t="s">
        <v>620</v>
      </c>
      <c r="G514" s="460" t="s">
        <v>881</v>
      </c>
      <c r="H514" s="534" t="s">
        <v>100</v>
      </c>
      <c r="I514" s="582" t="str">
        <f>VLOOKUP(H514,'9a-Typen vloeren'!$A$10:$B$40,2,FALSE)</f>
        <v>Sprayen/ conserveren</v>
      </c>
      <c r="J514" s="588">
        <v>12.100000381469727</v>
      </c>
      <c r="K514" s="433">
        <f t="shared" si="35"/>
        <v>0</v>
      </c>
      <c r="L514" s="433">
        <f t="shared" si="36"/>
        <v>0</v>
      </c>
      <c r="M514" s="433">
        <f t="shared" si="37"/>
        <v>0</v>
      </c>
      <c r="N514" s="672"/>
      <c r="O514" s="729">
        <f>IF(N514="",0,N514*K514/'9b-Vloeronderhoud'!$F$4)</f>
        <v>0</v>
      </c>
      <c r="P514" s="672"/>
      <c r="Q514" s="729" t="e">
        <f>IF(O514="",0,P514*L514/'9b-Vloeronderhoud'!$F$6)</f>
        <v>#DIV/0!</v>
      </c>
      <c r="R514" s="449">
        <v>1</v>
      </c>
      <c r="S514" s="672" t="s">
        <v>179</v>
      </c>
      <c r="T514" s="161">
        <f t="shared" si="38"/>
        <v>0</v>
      </c>
      <c r="U514" s="162">
        <f>IF(S514="nio",0,IF(S514&gt;0,VLOOKUP(G514,'3-Productie normen'!A:K,VLOOKUP(S514,'3-Productie normen'!L:N,3,FALSE),FALSE)))</f>
        <v>0</v>
      </c>
      <c r="V514" s="162">
        <f>VLOOKUP(G514,'3-Productie normen'!A:K,10,FALSE)</f>
        <v>5262.809993648526</v>
      </c>
      <c r="W514" s="163">
        <f>VLOOKUP(G514,'3-Productie normen'!A:K,11,FALSE)</f>
        <v>0</v>
      </c>
      <c r="X514" s="163"/>
      <c r="Z514" s="129">
        <f t="shared" si="39"/>
        <v>0</v>
      </c>
    </row>
    <row r="515" spans="1:26" ht="14.1" customHeight="1">
      <c r="A515" s="144">
        <v>521</v>
      </c>
      <c r="B515" s="485" t="s">
        <v>255</v>
      </c>
      <c r="C515" s="303" t="s">
        <v>782</v>
      </c>
      <c r="D515" s="304" t="s">
        <v>98</v>
      </c>
      <c r="E515" s="694" t="s">
        <v>329</v>
      </c>
      <c r="F515" s="303" t="s">
        <v>304</v>
      </c>
      <c r="G515" s="303" t="s">
        <v>18</v>
      </c>
      <c r="H515" s="534" t="s">
        <v>954</v>
      </c>
      <c r="I515" s="582" t="str">
        <f>VLOOKUP(H515,'9a-Typen vloeren'!$A$10:$B$40,2,FALSE)</f>
        <v>zie kwaliteitsontwerp</v>
      </c>
      <c r="J515" s="588">
        <v>5.5</v>
      </c>
      <c r="K515" s="433">
        <f t="shared" si="35"/>
        <v>0</v>
      </c>
      <c r="L515" s="433">
        <f t="shared" si="36"/>
        <v>0</v>
      </c>
      <c r="M515" s="433">
        <f t="shared" si="37"/>
        <v>0</v>
      </c>
      <c r="N515" s="672"/>
      <c r="O515" s="729">
        <f>IF(N515="",0,N515*K515/'9b-Vloeronderhoud'!$F$4)</f>
        <v>0</v>
      </c>
      <c r="P515" s="672"/>
      <c r="Q515" s="729" t="e">
        <f>IF(O515="",0,P515*L515/'9b-Vloeronderhoud'!$F$6)</f>
        <v>#DIV/0!</v>
      </c>
      <c r="R515" s="449">
        <v>1</v>
      </c>
      <c r="S515" s="672">
        <v>190</v>
      </c>
      <c r="T515" s="161" t="e">
        <f t="shared" si="38"/>
        <v>#DIV/0!</v>
      </c>
      <c r="U515" s="162">
        <f>IF(S515="nio",0,IF(S515&gt;0,VLOOKUP(G515,'3-Productie normen'!A:K,VLOOKUP(S515,'3-Productie normen'!L:N,3,FALSE),FALSE)))</f>
        <v>0</v>
      </c>
      <c r="V515" s="162">
        <f>VLOOKUP(G515,'3-Productie normen'!A:K,10,FALSE)</f>
        <v>1859.5880019121171</v>
      </c>
      <c r="W515" s="163">
        <f>VLOOKUP(G515,'3-Productie normen'!A:K,11,FALSE)</f>
        <v>0</v>
      </c>
      <c r="X515" s="163"/>
      <c r="Z515" s="129">
        <f t="shared" si="39"/>
        <v>1045</v>
      </c>
    </row>
    <row r="516" spans="1:26" ht="14.1" customHeight="1">
      <c r="A516" s="144">
        <v>522</v>
      </c>
      <c r="B516" s="485" t="s">
        <v>255</v>
      </c>
      <c r="C516" s="303" t="s">
        <v>782</v>
      </c>
      <c r="D516" s="304" t="s">
        <v>98</v>
      </c>
      <c r="E516" s="694" t="s">
        <v>330</v>
      </c>
      <c r="F516" s="303" t="s">
        <v>302</v>
      </c>
      <c r="G516" s="546" t="s">
        <v>18</v>
      </c>
      <c r="H516" s="534" t="s">
        <v>954</v>
      </c>
      <c r="I516" s="582" t="str">
        <f>VLOOKUP(H516,'9a-Typen vloeren'!$A$10:$B$40,2,FALSE)</f>
        <v>zie kwaliteitsontwerp</v>
      </c>
      <c r="J516" s="588">
        <v>3.0999999046325684</v>
      </c>
      <c r="K516" s="433">
        <f t="shared" si="35"/>
        <v>0</v>
      </c>
      <c r="L516" s="433">
        <f t="shared" si="36"/>
        <v>0</v>
      </c>
      <c r="M516" s="433">
        <f t="shared" si="37"/>
        <v>0</v>
      </c>
      <c r="N516" s="672"/>
      <c r="O516" s="729">
        <f>IF(N516="",0,N516*K516/'9b-Vloeronderhoud'!$F$4)</f>
        <v>0</v>
      </c>
      <c r="P516" s="672"/>
      <c r="Q516" s="729" t="e">
        <f>IF(O516="",0,P516*L516/'9b-Vloeronderhoud'!$F$6)</f>
        <v>#DIV/0!</v>
      </c>
      <c r="R516" s="449">
        <v>1</v>
      </c>
      <c r="S516" s="672">
        <v>190</v>
      </c>
      <c r="T516" s="161" t="e">
        <f t="shared" si="38"/>
        <v>#DIV/0!</v>
      </c>
      <c r="U516" s="162">
        <f>IF(S516="nio",0,IF(S516&gt;0,VLOOKUP(G516,'3-Productie normen'!A:K,VLOOKUP(S516,'3-Productie normen'!L:N,3,FALSE),FALSE)))</f>
        <v>0</v>
      </c>
      <c r="V516" s="162">
        <f>VLOOKUP(G516,'3-Productie normen'!A:K,10,FALSE)</f>
        <v>1859.5880019121171</v>
      </c>
      <c r="W516" s="163">
        <f>VLOOKUP(G516,'3-Productie normen'!A:K,11,FALSE)</f>
        <v>0</v>
      </c>
      <c r="X516" s="163"/>
      <c r="Z516" s="129">
        <f t="shared" si="39"/>
        <v>588.99998188018799</v>
      </c>
    </row>
    <row r="517" spans="1:26" ht="14.1" customHeight="1">
      <c r="A517" s="144">
        <v>523</v>
      </c>
      <c r="B517" s="485" t="s">
        <v>255</v>
      </c>
      <c r="C517" s="303" t="s">
        <v>782</v>
      </c>
      <c r="D517" s="304" t="s">
        <v>98</v>
      </c>
      <c r="E517" s="694" t="s">
        <v>671</v>
      </c>
      <c r="F517" s="303" t="s">
        <v>285</v>
      </c>
      <c r="G517" s="460" t="s">
        <v>285</v>
      </c>
      <c r="H517" s="534" t="s">
        <v>100</v>
      </c>
      <c r="I517" s="582" t="str">
        <f>VLOOKUP(H517,'9a-Typen vloeren'!$A$10:$B$40,2,FALSE)</f>
        <v>Sprayen/ conserveren</v>
      </c>
      <c r="J517" s="588">
        <v>44.200000762939453</v>
      </c>
      <c r="K517" s="433">
        <f t="shared" ref="K517:K580" si="40">IF(G517="niet in onderhoud",0,IF(I517="sprayen/ conserveren",J517,0))</f>
        <v>44.200000762939453</v>
      </c>
      <c r="L517" s="433">
        <f t="shared" ref="L517:L580" si="41">IF(G517="niet in onderhoud",0,IF(I517="schrobben",J517,0))</f>
        <v>0</v>
      </c>
      <c r="M517" s="433">
        <f t="shared" ref="M517:M580" si="42">IF(G517="niet in onderhoud",0,IF(I517="Sproei/extraheren",J517,0))</f>
        <v>0</v>
      </c>
      <c r="N517" s="672"/>
      <c r="O517" s="729">
        <f>IF(N517="",0,N517*K517/'9b-Vloeronderhoud'!$F$4)</f>
        <v>0</v>
      </c>
      <c r="P517" s="672"/>
      <c r="Q517" s="729" t="e">
        <f>IF(O517="",0,P517*L517/'9b-Vloeronderhoud'!$F$6)</f>
        <v>#DIV/0!</v>
      </c>
      <c r="R517" s="449">
        <v>1</v>
      </c>
      <c r="S517" s="672">
        <v>190</v>
      </c>
      <c r="T517" s="161" t="e">
        <f t="shared" si="38"/>
        <v>#DIV/0!</v>
      </c>
      <c r="U517" s="162">
        <f>IF(S517="nio",0,IF(S517&gt;0,VLOOKUP(G517,'3-Productie normen'!A:K,VLOOKUP(S517,'3-Productie normen'!L:N,3,FALSE),FALSE)))</f>
        <v>0</v>
      </c>
      <c r="V517" s="162">
        <f>VLOOKUP(G517,'3-Productie normen'!A:K,10,FALSE)</f>
        <v>3305.8200070953367</v>
      </c>
      <c r="W517" s="163">
        <f>VLOOKUP(G517,'3-Productie normen'!A:K,11,FALSE)</f>
        <v>0</v>
      </c>
      <c r="X517" s="163"/>
      <c r="Z517" s="129">
        <f t="shared" si="39"/>
        <v>8398.0001449584961</v>
      </c>
    </row>
    <row r="518" spans="1:26" ht="14.1" customHeight="1">
      <c r="A518" s="144">
        <v>524</v>
      </c>
      <c r="B518" s="485" t="s">
        <v>255</v>
      </c>
      <c r="C518" s="303" t="s">
        <v>782</v>
      </c>
      <c r="D518" s="304" t="s">
        <v>98</v>
      </c>
      <c r="E518" s="694" t="s">
        <v>785</v>
      </c>
      <c r="F518" s="303" t="s">
        <v>285</v>
      </c>
      <c r="G518" s="460" t="s">
        <v>285</v>
      </c>
      <c r="H518" s="303" t="s">
        <v>332</v>
      </c>
      <c r="I518" s="582" t="str">
        <f>VLOOKUP(H518,'9a-Typen vloeren'!$A$10:$B$40,2,FALSE)</f>
        <v>Sproei/extraheren</v>
      </c>
      <c r="J518" s="588">
        <v>22</v>
      </c>
      <c r="K518" s="433">
        <f t="shared" si="40"/>
        <v>0</v>
      </c>
      <c r="L518" s="433">
        <f t="shared" si="41"/>
        <v>0</v>
      </c>
      <c r="M518" s="433">
        <f t="shared" si="42"/>
        <v>22</v>
      </c>
      <c r="N518" s="672"/>
      <c r="O518" s="729">
        <f>IF(N518="",0,N518*K518/'9b-Vloeronderhoud'!$F$4)</f>
        <v>0</v>
      </c>
      <c r="P518" s="672"/>
      <c r="Q518" s="729" t="e">
        <f>IF(O518="",0,P518*L518/'9b-Vloeronderhoud'!$F$6)</f>
        <v>#DIV/0!</v>
      </c>
      <c r="R518" s="449">
        <v>1</v>
      </c>
      <c r="S518" s="672">
        <v>190</v>
      </c>
      <c r="T518" s="161" t="e">
        <f t="shared" si="38"/>
        <v>#DIV/0!</v>
      </c>
      <c r="U518" s="162">
        <f>IF(S518="nio",0,IF(S518&gt;0,VLOOKUP(G518,'3-Productie normen'!A:K,VLOOKUP(S518,'3-Productie normen'!L:N,3,FALSE),FALSE)))</f>
        <v>0</v>
      </c>
      <c r="V518" s="162">
        <f>VLOOKUP(G518,'3-Productie normen'!A:K,10,FALSE)</f>
        <v>3305.8200070953367</v>
      </c>
      <c r="W518" s="163">
        <f>VLOOKUP(G518,'3-Productie normen'!A:K,11,FALSE)</f>
        <v>0</v>
      </c>
      <c r="X518" s="163"/>
      <c r="Z518" s="129">
        <f t="shared" si="39"/>
        <v>4180</v>
      </c>
    </row>
    <row r="519" spans="1:26" ht="14.1" customHeight="1">
      <c r="A519" s="144">
        <v>525</v>
      </c>
      <c r="B519" s="485" t="s">
        <v>255</v>
      </c>
      <c r="C519" s="303" t="s">
        <v>782</v>
      </c>
      <c r="D519" s="304" t="s">
        <v>98</v>
      </c>
      <c r="E519" s="694" t="s">
        <v>406</v>
      </c>
      <c r="F519" s="303" t="s">
        <v>282</v>
      </c>
      <c r="G519" s="460" t="s">
        <v>881</v>
      </c>
      <c r="H519" s="303" t="s">
        <v>332</v>
      </c>
      <c r="I519" s="582" t="str">
        <f>VLOOKUP(H519,'9a-Typen vloeren'!$A$10:$B$40,2,FALSE)</f>
        <v>Sproei/extraheren</v>
      </c>
      <c r="J519" s="588">
        <v>6</v>
      </c>
      <c r="K519" s="433">
        <f t="shared" si="40"/>
        <v>0</v>
      </c>
      <c r="L519" s="433">
        <f t="shared" si="41"/>
        <v>0</v>
      </c>
      <c r="M519" s="433">
        <f t="shared" si="42"/>
        <v>0</v>
      </c>
      <c r="N519" s="672"/>
      <c r="O519" s="729">
        <f>IF(N519="",0,N519*K519/'9b-Vloeronderhoud'!$F$4)</f>
        <v>0</v>
      </c>
      <c r="P519" s="672"/>
      <c r="Q519" s="729" t="e">
        <f>IF(O519="",0,P519*L519/'9b-Vloeronderhoud'!$F$6)</f>
        <v>#DIV/0!</v>
      </c>
      <c r="R519" s="449">
        <v>1</v>
      </c>
      <c r="S519" s="672" t="s">
        <v>179</v>
      </c>
      <c r="T519" s="161">
        <f t="shared" si="38"/>
        <v>0</v>
      </c>
      <c r="U519" s="162">
        <f>IF(S519="nio",0,IF(S519&gt;0,VLOOKUP(G519,'3-Productie normen'!A:K,VLOOKUP(S519,'3-Productie normen'!L:N,3,FALSE),FALSE)))</f>
        <v>0</v>
      </c>
      <c r="V519" s="162">
        <f>VLOOKUP(G519,'3-Productie normen'!A:K,10,FALSE)</f>
        <v>5262.809993648526</v>
      </c>
      <c r="W519" s="163">
        <f>VLOOKUP(G519,'3-Productie normen'!A:K,11,FALSE)</f>
        <v>0</v>
      </c>
      <c r="X519" s="163"/>
      <c r="Z519" s="129">
        <f t="shared" si="39"/>
        <v>0</v>
      </c>
    </row>
    <row r="520" spans="1:26" ht="14.1" customHeight="1">
      <c r="A520" s="144">
        <v>526</v>
      </c>
      <c r="B520" s="485" t="s">
        <v>255</v>
      </c>
      <c r="C520" s="303" t="s">
        <v>782</v>
      </c>
      <c r="D520" s="304" t="s">
        <v>98</v>
      </c>
      <c r="E520" s="694" t="s">
        <v>407</v>
      </c>
      <c r="F520" s="303" t="s">
        <v>380</v>
      </c>
      <c r="G520" s="303" t="s">
        <v>862</v>
      </c>
      <c r="H520" s="534" t="s">
        <v>100</v>
      </c>
      <c r="I520" s="582" t="str">
        <f>VLOOKUP(H520,'9a-Typen vloeren'!$A$10:$B$40,2,FALSE)</f>
        <v>Sprayen/ conserveren</v>
      </c>
      <c r="J520" s="588">
        <v>86</v>
      </c>
      <c r="K520" s="433">
        <f t="shared" si="40"/>
        <v>86</v>
      </c>
      <c r="L520" s="433">
        <f t="shared" si="41"/>
        <v>0</v>
      </c>
      <c r="M520" s="433">
        <f t="shared" si="42"/>
        <v>0</v>
      </c>
      <c r="N520" s="672">
        <v>2</v>
      </c>
      <c r="O520" s="729" t="e">
        <f>IF(N520="",0,N520*K520/'9b-Vloeronderhoud'!$F$4)</f>
        <v>#DIV/0!</v>
      </c>
      <c r="P520" s="672"/>
      <c r="Q520" s="729" t="e">
        <f>IF(O520="",0,P520*L520/'9b-Vloeronderhoud'!$F$6)</f>
        <v>#DIV/0!</v>
      </c>
      <c r="R520" s="449">
        <v>1</v>
      </c>
      <c r="S520" s="672">
        <v>120</v>
      </c>
      <c r="T520" s="161" t="e">
        <f t="shared" si="38"/>
        <v>#DIV/0!</v>
      </c>
      <c r="U520" s="162">
        <f>IF(S520="nio",0,IF(S520&gt;0,VLOOKUP(G520,'3-Productie normen'!A:K,VLOOKUP(S520,'3-Productie normen'!L:N,3,FALSE),FALSE)))</f>
        <v>0</v>
      </c>
      <c r="V520" s="162">
        <f>VLOOKUP(G520,'3-Productie normen'!A:K,10,FALSE)</f>
        <v>4374.9900215911857</v>
      </c>
      <c r="W520" s="163">
        <f>VLOOKUP(G520,'3-Productie normen'!A:K,11,FALSE)</f>
        <v>0</v>
      </c>
      <c r="X520" s="163"/>
      <c r="Z520" s="129">
        <f t="shared" si="39"/>
        <v>10320</v>
      </c>
    </row>
    <row r="521" spans="1:26" ht="14.1" customHeight="1">
      <c r="A521" s="144">
        <v>527</v>
      </c>
      <c r="B521" s="485" t="s">
        <v>255</v>
      </c>
      <c r="C521" s="303" t="s">
        <v>782</v>
      </c>
      <c r="D521" s="304" t="s">
        <v>98</v>
      </c>
      <c r="E521" s="694" t="s">
        <v>408</v>
      </c>
      <c r="F521" s="303" t="s">
        <v>341</v>
      </c>
      <c r="G521" s="122" t="s">
        <v>190</v>
      </c>
      <c r="H521" s="534" t="s">
        <v>101</v>
      </c>
      <c r="I521" s="582" t="str">
        <f>VLOOKUP(H521,'9a-Typen vloeren'!$A$10:$B$40,2,FALSE)</f>
        <v>Schrobben</v>
      </c>
      <c r="J521" s="588">
        <v>9.5</v>
      </c>
      <c r="K521" s="433">
        <f t="shared" si="40"/>
        <v>0</v>
      </c>
      <c r="L521" s="433">
        <f t="shared" si="41"/>
        <v>9.5</v>
      </c>
      <c r="M521" s="433">
        <f t="shared" si="42"/>
        <v>0</v>
      </c>
      <c r="N521" s="672"/>
      <c r="O521" s="729">
        <f>IF(N521="",0,N521*K521/'9b-Vloeronderhoud'!$F$4)</f>
        <v>0</v>
      </c>
      <c r="P521" s="672">
        <v>3</v>
      </c>
      <c r="Q521" s="729" t="e">
        <f>IF(O521="",0,P521*L521/'9b-Vloeronderhoud'!$F$6)</f>
        <v>#DIV/0!</v>
      </c>
      <c r="R521" s="449">
        <v>1</v>
      </c>
      <c r="S521" s="672">
        <v>40</v>
      </c>
      <c r="T521" s="161" t="e">
        <f t="shared" si="38"/>
        <v>#DIV/0!</v>
      </c>
      <c r="U521" s="162">
        <f>IF(S521="nio",0,IF(S521&gt;0,VLOOKUP(G521,'3-Productie normen'!A:K,VLOOKUP(S521,'3-Productie normen'!L:N,3,FALSE),FALSE)))</f>
        <v>0</v>
      </c>
      <c r="V521" s="162">
        <f>VLOOKUP(G521,'3-Productie normen'!A:K,10,FALSE)</f>
        <v>281.65000052452086</v>
      </c>
      <c r="W521" s="163">
        <f>VLOOKUP(G521,'3-Productie normen'!A:K,11,FALSE)</f>
        <v>0</v>
      </c>
      <c r="X521" s="163"/>
      <c r="Z521" s="129">
        <f t="shared" si="39"/>
        <v>380</v>
      </c>
    </row>
    <row r="522" spans="1:26" ht="14.1" customHeight="1">
      <c r="A522" s="144">
        <v>528</v>
      </c>
      <c r="B522" s="485" t="s">
        <v>255</v>
      </c>
      <c r="C522" s="303" t="s">
        <v>782</v>
      </c>
      <c r="D522" s="304" t="s">
        <v>98</v>
      </c>
      <c r="E522" s="694" t="s">
        <v>414</v>
      </c>
      <c r="F522" s="303" t="s">
        <v>281</v>
      </c>
      <c r="G522" s="460" t="s">
        <v>881</v>
      </c>
      <c r="H522" s="534" t="s">
        <v>101</v>
      </c>
      <c r="I522" s="582" t="str">
        <f>VLOOKUP(H522,'9a-Typen vloeren'!$A$10:$B$40,2,FALSE)</f>
        <v>Schrobben</v>
      </c>
      <c r="J522" s="588">
        <v>1.5</v>
      </c>
      <c r="K522" s="433">
        <f t="shared" si="40"/>
        <v>0</v>
      </c>
      <c r="L522" s="433">
        <f t="shared" si="41"/>
        <v>0</v>
      </c>
      <c r="M522" s="433">
        <f t="shared" si="42"/>
        <v>0</v>
      </c>
      <c r="N522" s="672"/>
      <c r="O522" s="729">
        <f>IF(N522="",0,N522*K522/'9b-Vloeronderhoud'!$F$4)</f>
        <v>0</v>
      </c>
      <c r="P522" s="672"/>
      <c r="Q522" s="729" t="e">
        <f>IF(O522="",0,P522*L522/'9b-Vloeronderhoud'!$F$6)</f>
        <v>#DIV/0!</v>
      </c>
      <c r="R522" s="449">
        <v>1</v>
      </c>
      <c r="S522" s="672" t="s">
        <v>179</v>
      </c>
      <c r="T522" s="161">
        <f t="shared" ref="T522:T585" si="43">IF(S522="nio",0,IF(S522&gt;0,S522*J522/U522,0))*R522</f>
        <v>0</v>
      </c>
      <c r="U522" s="162">
        <f>IF(S522="nio",0,IF(S522&gt;0,VLOOKUP(G522,'3-Productie normen'!A:K,VLOOKUP(S522,'3-Productie normen'!L:N,3,FALSE),FALSE)))</f>
        <v>0</v>
      </c>
      <c r="V522" s="162">
        <f>VLOOKUP(G522,'3-Productie normen'!A:K,10,FALSE)</f>
        <v>5262.809993648526</v>
      </c>
      <c r="W522" s="163">
        <f>VLOOKUP(G522,'3-Productie normen'!A:K,11,FALSE)</f>
        <v>0</v>
      </c>
      <c r="X522" s="163"/>
      <c r="Z522" s="129">
        <f t="shared" ref="Z522:Z585" si="44">SUM(S522:S522)*J522</f>
        <v>0</v>
      </c>
    </row>
    <row r="523" spans="1:26" ht="14.1" customHeight="1">
      <c r="A523" s="144">
        <v>529</v>
      </c>
      <c r="B523" s="485" t="s">
        <v>255</v>
      </c>
      <c r="C523" s="303" t="s">
        <v>782</v>
      </c>
      <c r="D523" s="304" t="s">
        <v>98</v>
      </c>
      <c r="E523" s="694" t="s">
        <v>415</v>
      </c>
      <c r="F523" s="303" t="s">
        <v>302</v>
      </c>
      <c r="G523" s="460" t="s">
        <v>18</v>
      </c>
      <c r="H523" s="534" t="s">
        <v>954</v>
      </c>
      <c r="I523" s="582" t="str">
        <f>VLOOKUP(H523,'9a-Typen vloeren'!$A$10:$B$40,2,FALSE)</f>
        <v>zie kwaliteitsontwerp</v>
      </c>
      <c r="J523" s="588">
        <v>3</v>
      </c>
      <c r="K523" s="433">
        <f t="shared" si="40"/>
        <v>0</v>
      </c>
      <c r="L523" s="433">
        <f t="shared" si="41"/>
        <v>0</v>
      </c>
      <c r="M523" s="433">
        <f t="shared" si="42"/>
        <v>0</v>
      </c>
      <c r="N523" s="672"/>
      <c r="O523" s="729">
        <f>IF(N523="",0,N523*K523/'9b-Vloeronderhoud'!$F$4)</f>
        <v>0</v>
      </c>
      <c r="P523" s="672"/>
      <c r="Q523" s="729" t="e">
        <f>IF(O523="",0,P523*L523/'9b-Vloeronderhoud'!$F$6)</f>
        <v>#DIV/0!</v>
      </c>
      <c r="R523" s="449">
        <v>1</v>
      </c>
      <c r="S523" s="672">
        <v>190</v>
      </c>
      <c r="T523" s="161" t="e">
        <f t="shared" si="43"/>
        <v>#DIV/0!</v>
      </c>
      <c r="U523" s="162">
        <f>IF(S523="nio",0,IF(S523&gt;0,VLOOKUP(G523,'3-Productie normen'!A:K,VLOOKUP(S523,'3-Productie normen'!L:N,3,FALSE),FALSE)))</f>
        <v>0</v>
      </c>
      <c r="V523" s="162">
        <f>VLOOKUP(G523,'3-Productie normen'!A:K,10,FALSE)</f>
        <v>1859.5880019121171</v>
      </c>
      <c r="W523" s="163">
        <f>VLOOKUP(G523,'3-Productie normen'!A:K,11,FALSE)</f>
        <v>0</v>
      </c>
      <c r="X523" s="163"/>
      <c r="Z523" s="129">
        <f t="shared" si="44"/>
        <v>570</v>
      </c>
    </row>
    <row r="524" spans="1:26" ht="14.1" customHeight="1">
      <c r="A524" s="144">
        <v>530</v>
      </c>
      <c r="B524" s="485" t="s">
        <v>255</v>
      </c>
      <c r="C524" s="303" t="s">
        <v>782</v>
      </c>
      <c r="D524" s="304" t="s">
        <v>98</v>
      </c>
      <c r="E524" s="694" t="s">
        <v>416</v>
      </c>
      <c r="F524" s="303" t="s">
        <v>302</v>
      </c>
      <c r="G524" s="122" t="s">
        <v>18</v>
      </c>
      <c r="H524" s="534" t="s">
        <v>954</v>
      </c>
      <c r="I524" s="582" t="str">
        <f>VLOOKUP(H524,'9a-Typen vloeren'!$A$10:$B$40,2,FALSE)</f>
        <v>zie kwaliteitsontwerp</v>
      </c>
      <c r="J524" s="588">
        <v>2.7000000476837158</v>
      </c>
      <c r="K524" s="433">
        <f t="shared" si="40"/>
        <v>0</v>
      </c>
      <c r="L524" s="433">
        <f t="shared" si="41"/>
        <v>0</v>
      </c>
      <c r="M524" s="433">
        <f t="shared" si="42"/>
        <v>0</v>
      </c>
      <c r="N524" s="672"/>
      <c r="O524" s="729">
        <f>IF(N524="",0,N524*K524/'9b-Vloeronderhoud'!$F$4)</f>
        <v>0</v>
      </c>
      <c r="P524" s="672"/>
      <c r="Q524" s="729" t="e">
        <f>IF(O524="",0,P524*L524/'9b-Vloeronderhoud'!$F$6)</f>
        <v>#DIV/0!</v>
      </c>
      <c r="R524" s="449">
        <v>1</v>
      </c>
      <c r="S524" s="672">
        <v>190</v>
      </c>
      <c r="T524" s="161" t="e">
        <f t="shared" si="43"/>
        <v>#DIV/0!</v>
      </c>
      <c r="U524" s="162">
        <f>IF(S524="nio",0,IF(S524&gt;0,VLOOKUP(G524,'3-Productie normen'!A:K,VLOOKUP(S524,'3-Productie normen'!L:N,3,FALSE),FALSE)))</f>
        <v>0</v>
      </c>
      <c r="V524" s="162">
        <f>VLOOKUP(G524,'3-Productie normen'!A:K,10,FALSE)</f>
        <v>1859.5880019121171</v>
      </c>
      <c r="W524" s="163">
        <f>VLOOKUP(G524,'3-Productie normen'!A:K,11,FALSE)</f>
        <v>0</v>
      </c>
      <c r="X524" s="163"/>
      <c r="Z524" s="129">
        <f t="shared" si="44"/>
        <v>513.00000905990601</v>
      </c>
    </row>
    <row r="525" spans="1:26" ht="14.1" customHeight="1">
      <c r="A525" s="144">
        <v>531</v>
      </c>
      <c r="B525" s="485" t="s">
        <v>255</v>
      </c>
      <c r="C525" s="303" t="s">
        <v>782</v>
      </c>
      <c r="D525" s="304" t="s">
        <v>98</v>
      </c>
      <c r="E525" s="694" t="s">
        <v>417</v>
      </c>
      <c r="F525" s="303" t="s">
        <v>297</v>
      </c>
      <c r="G525" s="122" t="s">
        <v>189</v>
      </c>
      <c r="H525" s="303" t="s">
        <v>332</v>
      </c>
      <c r="I525" s="582" t="str">
        <f>VLOOKUP(H525,'9a-Typen vloeren'!$A$10:$B$40,2,FALSE)</f>
        <v>Sproei/extraheren</v>
      </c>
      <c r="J525" s="588">
        <v>15.5</v>
      </c>
      <c r="K525" s="433">
        <f t="shared" si="40"/>
        <v>0</v>
      </c>
      <c r="L525" s="433">
        <f t="shared" si="41"/>
        <v>0</v>
      </c>
      <c r="M525" s="433">
        <f t="shared" si="42"/>
        <v>15.5</v>
      </c>
      <c r="N525" s="672"/>
      <c r="O525" s="729">
        <f>IF(N525="",0,N525*K525/'9b-Vloeronderhoud'!$F$4)</f>
        <v>0</v>
      </c>
      <c r="P525" s="672"/>
      <c r="Q525" s="729" t="e">
        <f>IF(O525="",0,P525*L525/'9b-Vloeronderhoud'!$F$6)</f>
        <v>#DIV/0!</v>
      </c>
      <c r="R525" s="449">
        <v>1</v>
      </c>
      <c r="S525" s="672">
        <v>40</v>
      </c>
      <c r="T525" s="161" t="e">
        <f t="shared" si="43"/>
        <v>#DIV/0!</v>
      </c>
      <c r="U525" s="162">
        <f>IF(S525="nio",0,IF(S525&gt;0,VLOOKUP(G525,'3-Productie normen'!A:K,VLOOKUP(S525,'3-Productie normen'!L:N,3,FALSE),FALSE)))</f>
        <v>0</v>
      </c>
      <c r="V525" s="162">
        <f>VLOOKUP(G525,'3-Productie normen'!A:K,10,FALSE)</f>
        <v>1494.1700078582762</v>
      </c>
      <c r="W525" s="163">
        <f>VLOOKUP(G525,'3-Productie normen'!A:K,11,FALSE)</f>
        <v>0</v>
      </c>
      <c r="X525" s="163"/>
      <c r="Z525" s="129">
        <f t="shared" si="44"/>
        <v>620</v>
      </c>
    </row>
    <row r="526" spans="1:26" ht="14.1" customHeight="1">
      <c r="A526" s="144">
        <v>532</v>
      </c>
      <c r="B526" s="485" t="s">
        <v>255</v>
      </c>
      <c r="C526" s="303" t="s">
        <v>782</v>
      </c>
      <c r="D526" s="304" t="s">
        <v>98</v>
      </c>
      <c r="E526" s="694" t="s">
        <v>418</v>
      </c>
      <c r="F526" s="303" t="s">
        <v>343</v>
      </c>
      <c r="G526" s="303" t="s">
        <v>189</v>
      </c>
      <c r="H526" s="303" t="s">
        <v>332</v>
      </c>
      <c r="I526" s="582" t="str">
        <f>VLOOKUP(H526,'9a-Typen vloeren'!$A$10:$B$40,2,FALSE)</f>
        <v>Sproei/extraheren</v>
      </c>
      <c r="J526" s="588">
        <v>3.5</v>
      </c>
      <c r="K526" s="433">
        <f t="shared" si="40"/>
        <v>0</v>
      </c>
      <c r="L526" s="433">
        <f t="shared" si="41"/>
        <v>0</v>
      </c>
      <c r="M526" s="433">
        <f t="shared" si="42"/>
        <v>3.5</v>
      </c>
      <c r="N526" s="672"/>
      <c r="O526" s="729">
        <f>IF(N526="",0,N526*K526/'9b-Vloeronderhoud'!$F$4)</f>
        <v>0</v>
      </c>
      <c r="P526" s="672"/>
      <c r="Q526" s="729" t="e">
        <f>IF(O526="",0,P526*L526/'9b-Vloeronderhoud'!$F$6)</f>
        <v>#DIV/0!</v>
      </c>
      <c r="R526" s="449">
        <v>1</v>
      </c>
      <c r="S526" s="672">
        <v>40</v>
      </c>
      <c r="T526" s="161" t="e">
        <f t="shared" si="43"/>
        <v>#DIV/0!</v>
      </c>
      <c r="U526" s="162">
        <f>IF(S526="nio",0,IF(S526&gt;0,VLOOKUP(G526,'3-Productie normen'!A:K,VLOOKUP(S526,'3-Productie normen'!L:N,3,FALSE),FALSE)))</f>
        <v>0</v>
      </c>
      <c r="V526" s="162">
        <f>VLOOKUP(G526,'3-Productie normen'!A:K,10,FALSE)</f>
        <v>1494.1700078582762</v>
      </c>
      <c r="W526" s="163">
        <f>VLOOKUP(G526,'3-Productie normen'!A:K,11,FALSE)</f>
        <v>0</v>
      </c>
      <c r="X526" s="163"/>
      <c r="Z526" s="129">
        <f t="shared" si="44"/>
        <v>140</v>
      </c>
    </row>
    <row r="527" spans="1:26" ht="14.1" customHeight="1">
      <c r="A527" s="144">
        <v>533</v>
      </c>
      <c r="B527" s="485" t="s">
        <v>255</v>
      </c>
      <c r="C527" s="303" t="s">
        <v>782</v>
      </c>
      <c r="D527" s="304">
        <v>1</v>
      </c>
      <c r="E527" s="694" t="s">
        <v>351</v>
      </c>
      <c r="F527" s="303" t="s">
        <v>283</v>
      </c>
      <c r="G527" s="548" t="s">
        <v>286</v>
      </c>
      <c r="H527" s="534" t="s">
        <v>101</v>
      </c>
      <c r="I527" s="582" t="str">
        <f>VLOOKUP(H527,'9a-Typen vloeren'!$A$10:$B$40,2,FALSE)</f>
        <v>Schrobben</v>
      </c>
      <c r="J527" s="588">
        <v>10.699999809265137</v>
      </c>
      <c r="K527" s="433">
        <f t="shared" si="40"/>
        <v>0</v>
      </c>
      <c r="L527" s="433">
        <f t="shared" si="41"/>
        <v>10.699999809265137</v>
      </c>
      <c r="M527" s="433">
        <f t="shared" si="42"/>
        <v>0</v>
      </c>
      <c r="N527" s="672"/>
      <c r="O527" s="729">
        <f>IF(N527="",0,N527*K527/'9b-Vloeronderhoud'!$F$4)</f>
        <v>0</v>
      </c>
      <c r="P527" s="672">
        <v>3</v>
      </c>
      <c r="Q527" s="729" t="e">
        <f>IF(O527="",0,P527*L527/'9b-Vloeronderhoud'!$F$6)</f>
        <v>#DIV/0!</v>
      </c>
      <c r="R527" s="449">
        <v>1</v>
      </c>
      <c r="S527" s="672">
        <v>120</v>
      </c>
      <c r="T527" s="161" t="e">
        <f t="shared" si="43"/>
        <v>#DIV/0!</v>
      </c>
      <c r="U527" s="162">
        <f>IF(S527="nio",0,IF(S527&gt;0,VLOOKUP(G527,'3-Productie normen'!A:K,VLOOKUP(S527,'3-Productie normen'!L:N,3,FALSE),FALSE)))</f>
        <v>0</v>
      </c>
      <c r="V527" s="162">
        <f>VLOOKUP(G527,'3-Productie normen'!A:K,10,FALSE)</f>
        <v>6152.9500017547598</v>
      </c>
      <c r="W527" s="163">
        <f>VLOOKUP(G527,'3-Productie normen'!A:K,11,FALSE)</f>
        <v>0</v>
      </c>
      <c r="X527" s="163"/>
      <c r="Z527" s="129">
        <f t="shared" si="44"/>
        <v>1283.9999771118164</v>
      </c>
    </row>
    <row r="528" spans="1:26" ht="14.1" customHeight="1">
      <c r="A528" s="144">
        <v>534</v>
      </c>
      <c r="B528" s="485" t="s">
        <v>255</v>
      </c>
      <c r="C528" s="303" t="s">
        <v>782</v>
      </c>
      <c r="D528" s="304">
        <v>1</v>
      </c>
      <c r="E528" s="694" t="s">
        <v>352</v>
      </c>
      <c r="F528" s="303" t="s">
        <v>283</v>
      </c>
      <c r="G528" s="545" t="s">
        <v>286</v>
      </c>
      <c r="H528" s="534" t="s">
        <v>101</v>
      </c>
      <c r="I528" s="582" t="str">
        <f>VLOOKUP(H528,'9a-Typen vloeren'!$A$10:$B$40,2,FALSE)</f>
        <v>Schrobben</v>
      </c>
      <c r="J528" s="588">
        <v>29.899999618530273</v>
      </c>
      <c r="K528" s="433">
        <f t="shared" si="40"/>
        <v>0</v>
      </c>
      <c r="L528" s="433">
        <f t="shared" si="41"/>
        <v>29.899999618530273</v>
      </c>
      <c r="M528" s="433">
        <f t="shared" si="42"/>
        <v>0</v>
      </c>
      <c r="N528" s="672"/>
      <c r="O528" s="729">
        <f>IF(N528="",0,N528*K528/'9b-Vloeronderhoud'!$F$4)</f>
        <v>0</v>
      </c>
      <c r="P528" s="672">
        <v>3</v>
      </c>
      <c r="Q528" s="729" t="e">
        <f>IF(O528="",0,P528*L528/'9b-Vloeronderhoud'!$F$6)</f>
        <v>#DIV/0!</v>
      </c>
      <c r="R528" s="449">
        <v>1</v>
      </c>
      <c r="S528" s="672">
        <v>120</v>
      </c>
      <c r="T528" s="161" t="e">
        <f t="shared" si="43"/>
        <v>#DIV/0!</v>
      </c>
      <c r="U528" s="162">
        <f>IF(S528="nio",0,IF(S528&gt;0,VLOOKUP(G528,'3-Productie normen'!A:K,VLOOKUP(S528,'3-Productie normen'!L:N,3,FALSE),FALSE)))</f>
        <v>0</v>
      </c>
      <c r="V528" s="162">
        <f>VLOOKUP(G528,'3-Productie normen'!A:K,10,FALSE)</f>
        <v>6152.9500017547598</v>
      </c>
      <c r="W528" s="163">
        <f>VLOOKUP(G528,'3-Productie normen'!A:K,11,FALSE)</f>
        <v>0</v>
      </c>
      <c r="X528" s="163"/>
      <c r="Z528" s="129">
        <f t="shared" si="44"/>
        <v>3587.9999542236328</v>
      </c>
    </row>
    <row r="529" spans="1:26" ht="14.1" customHeight="1">
      <c r="A529" s="144">
        <v>535</v>
      </c>
      <c r="B529" s="485" t="s">
        <v>255</v>
      </c>
      <c r="C529" s="303" t="s">
        <v>782</v>
      </c>
      <c r="D529" s="304">
        <v>1</v>
      </c>
      <c r="E529" s="694" t="s">
        <v>354</v>
      </c>
      <c r="F529" s="303" t="s">
        <v>302</v>
      </c>
      <c r="G529" s="548" t="s">
        <v>18</v>
      </c>
      <c r="H529" s="534" t="s">
        <v>954</v>
      </c>
      <c r="I529" s="582" t="str">
        <f>VLOOKUP(H529,'9a-Typen vloeren'!$A$10:$B$40,2,FALSE)</f>
        <v>zie kwaliteitsontwerp</v>
      </c>
      <c r="J529" s="588">
        <v>9.1000003814697266</v>
      </c>
      <c r="K529" s="433">
        <f t="shared" si="40"/>
        <v>0</v>
      </c>
      <c r="L529" s="433">
        <f t="shared" si="41"/>
        <v>0</v>
      </c>
      <c r="M529" s="433">
        <f t="shared" si="42"/>
        <v>0</v>
      </c>
      <c r="N529" s="672"/>
      <c r="O529" s="729">
        <f>IF(N529="",0,N529*K529/'9b-Vloeronderhoud'!$F$4)</f>
        <v>0</v>
      </c>
      <c r="P529" s="672"/>
      <c r="Q529" s="729" t="e">
        <f>IF(O529="",0,P529*L529/'9b-Vloeronderhoud'!$F$6)</f>
        <v>#DIV/0!</v>
      </c>
      <c r="R529" s="449">
        <v>1</v>
      </c>
      <c r="S529" s="672">
        <v>190</v>
      </c>
      <c r="T529" s="161" t="e">
        <f t="shared" si="43"/>
        <v>#DIV/0!</v>
      </c>
      <c r="U529" s="162">
        <f>IF(S529="nio",0,IF(S529&gt;0,VLOOKUP(G529,'3-Productie normen'!A:K,VLOOKUP(S529,'3-Productie normen'!L:N,3,FALSE),FALSE)))</f>
        <v>0</v>
      </c>
      <c r="V529" s="162">
        <f>VLOOKUP(G529,'3-Productie normen'!A:K,10,FALSE)</f>
        <v>1859.5880019121171</v>
      </c>
      <c r="W529" s="163">
        <f>VLOOKUP(G529,'3-Productie normen'!A:K,11,FALSE)</f>
        <v>0</v>
      </c>
      <c r="X529" s="163"/>
      <c r="Z529" s="129">
        <f t="shared" si="44"/>
        <v>1729.000072479248</v>
      </c>
    </row>
    <row r="530" spans="1:26" ht="14.1" customHeight="1">
      <c r="A530" s="144">
        <v>536</v>
      </c>
      <c r="B530" s="485" t="s">
        <v>255</v>
      </c>
      <c r="C530" s="303" t="s">
        <v>782</v>
      </c>
      <c r="D530" s="304">
        <v>1</v>
      </c>
      <c r="E530" s="694" t="s">
        <v>355</v>
      </c>
      <c r="F530" s="303" t="s">
        <v>281</v>
      </c>
      <c r="G530" s="460" t="s">
        <v>881</v>
      </c>
      <c r="H530" s="534" t="s">
        <v>101</v>
      </c>
      <c r="I530" s="582" t="str">
        <f>VLOOKUP(H530,'9a-Typen vloeren'!$A$10:$B$40,2,FALSE)</f>
        <v>Schrobben</v>
      </c>
      <c r="J530" s="588">
        <v>2.0999999046325684</v>
      </c>
      <c r="K530" s="433">
        <f t="shared" si="40"/>
        <v>0</v>
      </c>
      <c r="L530" s="433">
        <f t="shared" si="41"/>
        <v>0</v>
      </c>
      <c r="M530" s="433">
        <f t="shared" si="42"/>
        <v>0</v>
      </c>
      <c r="N530" s="672"/>
      <c r="O530" s="729">
        <f>IF(N530="",0,N530*K530/'9b-Vloeronderhoud'!$F$4)</f>
        <v>0</v>
      </c>
      <c r="P530" s="672"/>
      <c r="Q530" s="729" t="e">
        <f>IF(O530="",0,P530*L530/'9b-Vloeronderhoud'!$F$6)</f>
        <v>#DIV/0!</v>
      </c>
      <c r="R530" s="449">
        <v>1</v>
      </c>
      <c r="S530" s="672" t="s">
        <v>179</v>
      </c>
      <c r="T530" s="161">
        <f t="shared" si="43"/>
        <v>0</v>
      </c>
      <c r="U530" s="162">
        <f>IF(S530="nio",0,IF(S530&gt;0,VLOOKUP(G530,'3-Productie normen'!A:K,VLOOKUP(S530,'3-Productie normen'!L:N,3,FALSE),FALSE)))</f>
        <v>0</v>
      </c>
      <c r="V530" s="162">
        <f>VLOOKUP(G530,'3-Productie normen'!A:K,10,FALSE)</f>
        <v>5262.809993648526</v>
      </c>
      <c r="W530" s="163">
        <f>VLOOKUP(G530,'3-Productie normen'!A:K,11,FALSE)</f>
        <v>0</v>
      </c>
      <c r="X530" s="163"/>
      <c r="Z530" s="129">
        <f t="shared" si="44"/>
        <v>0</v>
      </c>
    </row>
    <row r="531" spans="1:26" ht="14.1" customHeight="1">
      <c r="A531" s="144">
        <v>537</v>
      </c>
      <c r="B531" s="485" t="s">
        <v>255</v>
      </c>
      <c r="C531" s="303" t="s">
        <v>782</v>
      </c>
      <c r="D531" s="304">
        <v>1</v>
      </c>
      <c r="E531" s="694" t="s">
        <v>356</v>
      </c>
      <c r="F531" s="303" t="s">
        <v>282</v>
      </c>
      <c r="G531" s="460" t="s">
        <v>881</v>
      </c>
      <c r="H531" s="303" t="s">
        <v>332</v>
      </c>
      <c r="I531" s="582" t="str">
        <f>VLOOKUP(H531,'9a-Typen vloeren'!$A$10:$B$40,2,FALSE)</f>
        <v>Sproei/extraheren</v>
      </c>
      <c r="J531" s="588">
        <v>10</v>
      </c>
      <c r="K531" s="433">
        <f t="shared" si="40"/>
        <v>0</v>
      </c>
      <c r="L531" s="433">
        <f t="shared" si="41"/>
        <v>0</v>
      </c>
      <c r="M531" s="433">
        <f t="shared" si="42"/>
        <v>0</v>
      </c>
      <c r="N531" s="672"/>
      <c r="O531" s="729">
        <f>IF(N531="",0,N531*K531/'9b-Vloeronderhoud'!$F$4)</f>
        <v>0</v>
      </c>
      <c r="P531" s="672"/>
      <c r="Q531" s="729" t="e">
        <f>IF(O531="",0,P531*L531/'9b-Vloeronderhoud'!$F$6)</f>
        <v>#DIV/0!</v>
      </c>
      <c r="R531" s="449">
        <v>1</v>
      </c>
      <c r="S531" s="672" t="s">
        <v>179</v>
      </c>
      <c r="T531" s="161">
        <f t="shared" si="43"/>
        <v>0</v>
      </c>
      <c r="U531" s="162">
        <f>IF(S531="nio",0,IF(S531&gt;0,VLOOKUP(G531,'3-Productie normen'!A:K,VLOOKUP(S531,'3-Productie normen'!L:N,3,FALSE),FALSE)))</f>
        <v>0</v>
      </c>
      <c r="V531" s="162">
        <f>VLOOKUP(G531,'3-Productie normen'!A:K,10,FALSE)</f>
        <v>5262.809993648526</v>
      </c>
      <c r="W531" s="163">
        <f>VLOOKUP(G531,'3-Productie normen'!A:K,11,FALSE)</f>
        <v>0</v>
      </c>
      <c r="X531" s="163"/>
      <c r="Z531" s="129">
        <f t="shared" si="44"/>
        <v>0</v>
      </c>
    </row>
    <row r="532" spans="1:26" ht="14.1" customHeight="1">
      <c r="A532" s="144">
        <v>538</v>
      </c>
      <c r="B532" s="485" t="s">
        <v>255</v>
      </c>
      <c r="C532" s="303" t="s">
        <v>782</v>
      </c>
      <c r="D532" s="304">
        <v>1</v>
      </c>
      <c r="E532" s="694" t="s">
        <v>357</v>
      </c>
      <c r="F532" s="303" t="s">
        <v>221</v>
      </c>
      <c r="G532" s="548" t="s">
        <v>221</v>
      </c>
      <c r="H532" s="534" t="s">
        <v>100</v>
      </c>
      <c r="I532" s="582" t="str">
        <f>VLOOKUP(H532,'9a-Typen vloeren'!$A$10:$B$40,2,FALSE)</f>
        <v>Sprayen/ conserveren</v>
      </c>
      <c r="J532" s="588">
        <v>55.200000762939453</v>
      </c>
      <c r="K532" s="433">
        <f t="shared" si="40"/>
        <v>55.200000762939453</v>
      </c>
      <c r="L532" s="433">
        <f t="shared" si="41"/>
        <v>0</v>
      </c>
      <c r="M532" s="433">
        <f t="shared" si="42"/>
        <v>0</v>
      </c>
      <c r="N532" s="672"/>
      <c r="O532" s="729">
        <f>IF(N532="",0,N532*K532/'9b-Vloeronderhoud'!$F$4)</f>
        <v>0</v>
      </c>
      <c r="P532" s="672"/>
      <c r="Q532" s="729" t="e">
        <f>IF(O532="",0,P532*L532/'9b-Vloeronderhoud'!$F$6)</f>
        <v>#DIV/0!</v>
      </c>
      <c r="R532" s="449">
        <v>1</v>
      </c>
      <c r="S532" s="672">
        <v>80</v>
      </c>
      <c r="T532" s="161" t="e">
        <f t="shared" si="43"/>
        <v>#DIV/0!</v>
      </c>
      <c r="U532" s="162">
        <f>IF(S532="nio",0,IF(S532&gt;0,VLOOKUP(G532,'3-Productie normen'!A:K,VLOOKUP(S532,'3-Productie normen'!L:N,3,FALSE),FALSE)))</f>
        <v>0</v>
      </c>
      <c r="V532" s="162">
        <f>VLOOKUP(G532,'3-Productie normen'!A:K,10,FALSE)</f>
        <v>16013.110036668773</v>
      </c>
      <c r="W532" s="163">
        <f>VLOOKUP(G532,'3-Productie normen'!A:K,11,FALSE)</f>
        <v>0</v>
      </c>
      <c r="X532" s="163"/>
      <c r="Z532" s="129">
        <f t="shared" si="44"/>
        <v>4416.0000610351563</v>
      </c>
    </row>
    <row r="533" spans="1:26" ht="14.1" customHeight="1">
      <c r="A533" s="144">
        <v>539</v>
      </c>
      <c r="B533" s="485" t="s">
        <v>255</v>
      </c>
      <c r="C533" s="303" t="s">
        <v>782</v>
      </c>
      <c r="D533" s="304">
        <v>1</v>
      </c>
      <c r="E533" s="694" t="s">
        <v>358</v>
      </c>
      <c r="F533" s="303" t="s">
        <v>221</v>
      </c>
      <c r="G533" s="548" t="s">
        <v>221</v>
      </c>
      <c r="H533" s="534" t="s">
        <v>100</v>
      </c>
      <c r="I533" s="582" t="str">
        <f>VLOOKUP(H533,'9a-Typen vloeren'!$A$10:$B$40,2,FALSE)</f>
        <v>Sprayen/ conserveren</v>
      </c>
      <c r="J533" s="588">
        <v>54.799999237060547</v>
      </c>
      <c r="K533" s="433">
        <f t="shared" si="40"/>
        <v>54.799999237060547</v>
      </c>
      <c r="L533" s="433">
        <f t="shared" si="41"/>
        <v>0</v>
      </c>
      <c r="M533" s="433">
        <f t="shared" si="42"/>
        <v>0</v>
      </c>
      <c r="N533" s="672"/>
      <c r="O533" s="729">
        <f>IF(N533="",0,N533*K533/'9b-Vloeronderhoud'!$F$4)</f>
        <v>0</v>
      </c>
      <c r="P533" s="672"/>
      <c r="Q533" s="729" t="e">
        <f>IF(O533="",0,P533*L533/'9b-Vloeronderhoud'!$F$6)</f>
        <v>#DIV/0!</v>
      </c>
      <c r="R533" s="449">
        <v>1</v>
      </c>
      <c r="S533" s="672">
        <v>80</v>
      </c>
      <c r="T533" s="161" t="e">
        <f t="shared" si="43"/>
        <v>#DIV/0!</v>
      </c>
      <c r="U533" s="162">
        <f>IF(S533="nio",0,IF(S533&gt;0,VLOOKUP(G533,'3-Productie normen'!A:K,VLOOKUP(S533,'3-Productie normen'!L:N,3,FALSE),FALSE)))</f>
        <v>0</v>
      </c>
      <c r="V533" s="162">
        <f>VLOOKUP(G533,'3-Productie normen'!A:K,10,FALSE)</f>
        <v>16013.110036668773</v>
      </c>
      <c r="W533" s="163">
        <f>VLOOKUP(G533,'3-Productie normen'!A:K,11,FALSE)</f>
        <v>0</v>
      </c>
      <c r="X533" s="163"/>
      <c r="Z533" s="129">
        <f t="shared" si="44"/>
        <v>4383.9999389648438</v>
      </c>
    </row>
    <row r="534" spans="1:26" ht="14.1" customHeight="1">
      <c r="A534" s="144">
        <v>540</v>
      </c>
      <c r="B534" s="485" t="s">
        <v>255</v>
      </c>
      <c r="C534" s="303" t="s">
        <v>782</v>
      </c>
      <c r="D534" s="304">
        <v>1</v>
      </c>
      <c r="E534" s="694" t="s">
        <v>359</v>
      </c>
      <c r="F534" s="303" t="s">
        <v>297</v>
      </c>
      <c r="G534" s="547" t="s">
        <v>189</v>
      </c>
      <c r="H534" s="303" t="s">
        <v>332</v>
      </c>
      <c r="I534" s="582" t="str">
        <f>VLOOKUP(H534,'9a-Typen vloeren'!$A$10:$B$40,2,FALSE)</f>
        <v>Sproei/extraheren</v>
      </c>
      <c r="J534" s="588">
        <v>13.600000381469727</v>
      </c>
      <c r="K534" s="433">
        <f t="shared" si="40"/>
        <v>0</v>
      </c>
      <c r="L534" s="433">
        <f t="shared" si="41"/>
        <v>0</v>
      </c>
      <c r="M534" s="433">
        <f t="shared" si="42"/>
        <v>13.600000381469727</v>
      </c>
      <c r="N534" s="672"/>
      <c r="O534" s="729">
        <f>IF(N534="",0,N534*K534/'9b-Vloeronderhoud'!$F$4)</f>
        <v>0</v>
      </c>
      <c r="P534" s="672"/>
      <c r="Q534" s="729" t="e">
        <f>IF(O534="",0,P534*L534/'9b-Vloeronderhoud'!$F$6)</f>
        <v>#DIV/0!</v>
      </c>
      <c r="R534" s="449">
        <v>1</v>
      </c>
      <c r="S534" s="672">
        <v>40</v>
      </c>
      <c r="T534" s="161" t="e">
        <f t="shared" si="43"/>
        <v>#DIV/0!</v>
      </c>
      <c r="U534" s="162">
        <f>IF(S534="nio",0,IF(S534&gt;0,VLOOKUP(G534,'3-Productie normen'!A:K,VLOOKUP(S534,'3-Productie normen'!L:N,3,FALSE),FALSE)))</f>
        <v>0</v>
      </c>
      <c r="V534" s="162">
        <f>VLOOKUP(G534,'3-Productie normen'!A:K,10,FALSE)</f>
        <v>1494.1700078582762</v>
      </c>
      <c r="W534" s="163">
        <f>VLOOKUP(G534,'3-Productie normen'!A:K,11,FALSE)</f>
        <v>0</v>
      </c>
      <c r="X534" s="163"/>
      <c r="Z534" s="129">
        <f t="shared" si="44"/>
        <v>544.00001525878906</v>
      </c>
    </row>
    <row r="535" spans="1:26" ht="14.1" customHeight="1">
      <c r="A535" s="144">
        <v>541</v>
      </c>
      <c r="B535" s="485" t="s">
        <v>255</v>
      </c>
      <c r="C535" s="303" t="s">
        <v>782</v>
      </c>
      <c r="D535" s="304">
        <v>1</v>
      </c>
      <c r="E535" s="694" t="s">
        <v>361</v>
      </c>
      <c r="F535" s="303" t="s">
        <v>221</v>
      </c>
      <c r="G535" s="545" t="s">
        <v>221</v>
      </c>
      <c r="H535" s="303" t="s">
        <v>332</v>
      </c>
      <c r="I535" s="582" t="str">
        <f>VLOOKUP(H535,'9a-Typen vloeren'!$A$10:$B$40,2,FALSE)</f>
        <v>Sproei/extraheren</v>
      </c>
      <c r="J535" s="588">
        <v>50</v>
      </c>
      <c r="K535" s="433">
        <f t="shared" si="40"/>
        <v>0</v>
      </c>
      <c r="L535" s="433">
        <f t="shared" si="41"/>
        <v>0</v>
      </c>
      <c r="M535" s="433">
        <f t="shared" si="42"/>
        <v>50</v>
      </c>
      <c r="N535" s="672"/>
      <c r="O535" s="729">
        <f>IF(N535="",0,N535*K535/'9b-Vloeronderhoud'!$F$4)</f>
        <v>0</v>
      </c>
      <c r="P535" s="672"/>
      <c r="Q535" s="729" t="e">
        <f>IF(O535="",0,P535*L535/'9b-Vloeronderhoud'!$F$6)</f>
        <v>#DIV/0!</v>
      </c>
      <c r="R535" s="449">
        <v>1</v>
      </c>
      <c r="S535" s="688" t="s">
        <v>179</v>
      </c>
      <c r="T535" s="161">
        <f t="shared" si="43"/>
        <v>0</v>
      </c>
      <c r="U535" s="162">
        <f>IF(S535="nio",0,IF(S535&gt;0,VLOOKUP(G535,'3-Productie normen'!A:K,VLOOKUP(S535,'3-Productie normen'!L:N,3,FALSE),FALSE)))</f>
        <v>0</v>
      </c>
      <c r="V535" s="162">
        <f>VLOOKUP(G535,'3-Productie normen'!A:K,10,FALSE)</f>
        <v>16013.110036668773</v>
      </c>
      <c r="W535" s="163">
        <f>VLOOKUP(G535,'3-Productie normen'!A:K,11,FALSE)</f>
        <v>0</v>
      </c>
      <c r="X535" s="163"/>
      <c r="Z535" s="129">
        <f t="shared" si="44"/>
        <v>0</v>
      </c>
    </row>
    <row r="536" spans="1:26" ht="14.1" customHeight="1">
      <c r="A536" s="144">
        <v>542</v>
      </c>
      <c r="B536" s="525" t="s">
        <v>238</v>
      </c>
      <c r="C536" s="159" t="s">
        <v>603</v>
      </c>
      <c r="D536" s="132" t="s">
        <v>98</v>
      </c>
      <c r="E536" s="711" t="s">
        <v>294</v>
      </c>
      <c r="F536" s="494" t="s">
        <v>489</v>
      </c>
      <c r="G536" s="547" t="s">
        <v>99</v>
      </c>
      <c r="H536" s="170" t="s">
        <v>802</v>
      </c>
      <c r="I536" s="582" t="str">
        <f>VLOOKUP(H536,'9a-Typen vloeren'!$A$10:$B$40,2,FALSE)</f>
        <v>n.v.t.</v>
      </c>
      <c r="J536" s="590">
        <v>9.1999999999999993</v>
      </c>
      <c r="K536" s="433">
        <f t="shared" si="40"/>
        <v>0</v>
      </c>
      <c r="L536" s="433">
        <f t="shared" si="41"/>
        <v>0</v>
      </c>
      <c r="M536" s="433">
        <f t="shared" si="42"/>
        <v>0</v>
      </c>
      <c r="N536" s="672"/>
      <c r="O536" s="729">
        <f>IF(N536="",0,N536*K536/'9b-Vloeronderhoud'!$F$4)</f>
        <v>0</v>
      </c>
      <c r="P536" s="672"/>
      <c r="Q536" s="729" t="e">
        <f>IF(O536="",0,P536*L536/'9b-Vloeronderhoud'!$F$6)</f>
        <v>#DIV/0!</v>
      </c>
      <c r="R536" s="449">
        <v>1</v>
      </c>
      <c r="S536" s="672">
        <v>190</v>
      </c>
      <c r="T536" s="161" t="e">
        <f t="shared" si="43"/>
        <v>#DIV/0!</v>
      </c>
      <c r="U536" s="162">
        <f>IF(S536="nio",0,IF(S536&gt;0,VLOOKUP(G536,'3-Productie normen'!A:K,VLOOKUP(S536,'3-Productie normen'!L:N,3,FALSE),FALSE)))</f>
        <v>0</v>
      </c>
      <c r="V536" s="162">
        <f>VLOOKUP(G536,'3-Productie normen'!A:K,10,FALSE)</f>
        <v>726.97999910354622</v>
      </c>
      <c r="W536" s="163">
        <f>VLOOKUP(G536,'3-Productie normen'!A:K,11,FALSE)</f>
        <v>0</v>
      </c>
      <c r="X536" s="163"/>
      <c r="Z536" s="129">
        <f t="shared" si="44"/>
        <v>1747.9999999999998</v>
      </c>
    </row>
    <row r="537" spans="1:26" ht="14.1" customHeight="1">
      <c r="A537" s="144">
        <v>543</v>
      </c>
      <c r="B537" s="525" t="s">
        <v>238</v>
      </c>
      <c r="C537" s="159" t="s">
        <v>603</v>
      </c>
      <c r="D537" s="132" t="s">
        <v>98</v>
      </c>
      <c r="E537" s="711" t="s">
        <v>295</v>
      </c>
      <c r="F537" s="494" t="s">
        <v>267</v>
      </c>
      <c r="G537" s="547" t="s">
        <v>18</v>
      </c>
      <c r="H537" s="303" t="s">
        <v>955</v>
      </c>
      <c r="I537" s="582" t="str">
        <f>VLOOKUP(H537,'9a-Typen vloeren'!$A$10:$B$40,2,FALSE)</f>
        <v>zie kwaliteitsontwerp</v>
      </c>
      <c r="J537" s="590">
        <v>1.2</v>
      </c>
      <c r="K537" s="433">
        <f t="shared" si="40"/>
        <v>0</v>
      </c>
      <c r="L537" s="433">
        <f t="shared" si="41"/>
        <v>0</v>
      </c>
      <c r="M537" s="433">
        <f t="shared" si="42"/>
        <v>0</v>
      </c>
      <c r="N537" s="672"/>
      <c r="O537" s="729">
        <f>IF(N537="",0,N537*K537/'9b-Vloeronderhoud'!$F$4)</f>
        <v>0</v>
      </c>
      <c r="P537" s="672"/>
      <c r="Q537" s="729" t="e">
        <f>IF(O537="",0,P537*L537/'9b-Vloeronderhoud'!$F$6)</f>
        <v>#DIV/0!</v>
      </c>
      <c r="R537" s="449">
        <v>1</v>
      </c>
      <c r="S537" s="672">
        <v>190</v>
      </c>
      <c r="T537" s="161" t="e">
        <f t="shared" si="43"/>
        <v>#DIV/0!</v>
      </c>
      <c r="U537" s="162">
        <f>IF(S537="nio",0,IF(S537&gt;0,VLOOKUP(G537,'3-Productie normen'!A:K,VLOOKUP(S537,'3-Productie normen'!L:N,3,FALSE),FALSE)))</f>
        <v>0</v>
      </c>
      <c r="V537" s="162">
        <f>VLOOKUP(G537,'3-Productie normen'!A:K,10,FALSE)</f>
        <v>1859.5880019121171</v>
      </c>
      <c r="W537" s="163">
        <f>VLOOKUP(G537,'3-Productie normen'!A:K,11,FALSE)</f>
        <v>0</v>
      </c>
      <c r="X537" s="163"/>
      <c r="Z537" s="129">
        <f t="shared" si="44"/>
        <v>228</v>
      </c>
    </row>
    <row r="538" spans="1:26" ht="14.1" customHeight="1">
      <c r="A538" s="144">
        <v>544</v>
      </c>
      <c r="B538" s="525" t="s">
        <v>238</v>
      </c>
      <c r="C538" s="159" t="s">
        <v>603</v>
      </c>
      <c r="D538" s="132" t="s">
        <v>98</v>
      </c>
      <c r="E538" s="711" t="s">
        <v>296</v>
      </c>
      <c r="F538" s="494" t="s">
        <v>382</v>
      </c>
      <c r="G538" s="460" t="s">
        <v>881</v>
      </c>
      <c r="H538" s="170" t="s">
        <v>333</v>
      </c>
      <c r="I538" s="582" t="str">
        <f>VLOOKUP(H538,'9a-Typen vloeren'!$A$10:$B$40,2,FALSE)</f>
        <v>Schrobben</v>
      </c>
      <c r="J538" s="590">
        <v>5.7</v>
      </c>
      <c r="K538" s="433">
        <f t="shared" si="40"/>
        <v>0</v>
      </c>
      <c r="L538" s="433">
        <f t="shared" si="41"/>
        <v>0</v>
      </c>
      <c r="M538" s="433">
        <f t="shared" si="42"/>
        <v>0</v>
      </c>
      <c r="N538" s="672"/>
      <c r="O538" s="729">
        <f>IF(N538="",0,N538*K538/'9b-Vloeronderhoud'!$F$4)</f>
        <v>0</v>
      </c>
      <c r="P538" s="672"/>
      <c r="Q538" s="729" t="e">
        <f>IF(O538="",0,P538*L538/'9b-Vloeronderhoud'!$F$6)</f>
        <v>#DIV/0!</v>
      </c>
      <c r="R538" s="449">
        <v>1</v>
      </c>
      <c r="S538" s="672" t="s">
        <v>179</v>
      </c>
      <c r="T538" s="161">
        <f t="shared" si="43"/>
        <v>0</v>
      </c>
      <c r="U538" s="162">
        <f>IF(S538="nio",0,IF(S538&gt;0,VLOOKUP(G538,'3-Productie normen'!A:K,VLOOKUP(S538,'3-Productie normen'!L:N,3,FALSE),FALSE)))</f>
        <v>0</v>
      </c>
      <c r="V538" s="162">
        <f>VLOOKUP(G538,'3-Productie normen'!A:K,10,FALSE)</f>
        <v>5262.809993648526</v>
      </c>
      <c r="W538" s="163">
        <f>VLOOKUP(G538,'3-Productie normen'!A:K,11,FALSE)</f>
        <v>0</v>
      </c>
      <c r="X538" s="163"/>
      <c r="Z538" s="129">
        <f t="shared" si="44"/>
        <v>0</v>
      </c>
    </row>
    <row r="539" spans="1:26" ht="14.1" customHeight="1">
      <c r="A539" s="144">
        <v>545</v>
      </c>
      <c r="B539" s="525" t="s">
        <v>238</v>
      </c>
      <c r="C539" s="159" t="s">
        <v>603</v>
      </c>
      <c r="D539" s="132" t="s">
        <v>98</v>
      </c>
      <c r="E539" s="711" t="s">
        <v>298</v>
      </c>
      <c r="F539" s="494" t="s">
        <v>470</v>
      </c>
      <c r="G539" s="545" t="s">
        <v>221</v>
      </c>
      <c r="H539" s="303" t="s">
        <v>332</v>
      </c>
      <c r="I539" s="582" t="str">
        <f>VLOOKUP(H539,'9a-Typen vloeren'!$A$10:$B$40,2,FALSE)</f>
        <v>Sproei/extraheren</v>
      </c>
      <c r="J539" s="590">
        <v>51.9</v>
      </c>
      <c r="K539" s="433">
        <f t="shared" si="40"/>
        <v>0</v>
      </c>
      <c r="L539" s="433">
        <f t="shared" si="41"/>
        <v>0</v>
      </c>
      <c r="M539" s="433">
        <f t="shared" si="42"/>
        <v>51.9</v>
      </c>
      <c r="N539" s="672"/>
      <c r="O539" s="729">
        <f>IF(N539="",0,N539*K539/'9b-Vloeronderhoud'!$F$4)</f>
        <v>0</v>
      </c>
      <c r="P539" s="672"/>
      <c r="Q539" s="729" t="e">
        <f>IF(O539="",0,P539*L539/'9b-Vloeronderhoud'!$F$6)</f>
        <v>#DIV/0!</v>
      </c>
      <c r="R539" s="449">
        <v>1</v>
      </c>
      <c r="S539" s="672">
        <v>80</v>
      </c>
      <c r="T539" s="161" t="e">
        <f t="shared" si="43"/>
        <v>#DIV/0!</v>
      </c>
      <c r="U539" s="162">
        <f>IF(S539="nio",0,IF(S539&gt;0,VLOOKUP(G539,'3-Productie normen'!A:K,VLOOKUP(S539,'3-Productie normen'!L:N,3,FALSE),FALSE)))</f>
        <v>0</v>
      </c>
      <c r="V539" s="162">
        <f>VLOOKUP(G539,'3-Productie normen'!A:K,10,FALSE)</f>
        <v>16013.110036668773</v>
      </c>
      <c r="W539" s="163">
        <f>VLOOKUP(G539,'3-Productie normen'!A:K,11,FALSE)</f>
        <v>0</v>
      </c>
      <c r="X539" s="163"/>
      <c r="Z539" s="129">
        <f t="shared" si="44"/>
        <v>4152</v>
      </c>
    </row>
    <row r="540" spans="1:26" ht="14.1" customHeight="1">
      <c r="A540" s="144">
        <v>546</v>
      </c>
      <c r="B540" s="525" t="s">
        <v>238</v>
      </c>
      <c r="C540" s="159" t="s">
        <v>603</v>
      </c>
      <c r="D540" s="132" t="s">
        <v>98</v>
      </c>
      <c r="E540" s="711" t="s">
        <v>301</v>
      </c>
      <c r="F540" s="494" t="s">
        <v>404</v>
      </c>
      <c r="G540" s="547" t="s">
        <v>286</v>
      </c>
      <c r="H540" s="170" t="s">
        <v>333</v>
      </c>
      <c r="I540" s="582" t="str">
        <f>VLOOKUP(H540,'9a-Typen vloeren'!$A$10:$B$40,2,FALSE)</f>
        <v>Schrobben</v>
      </c>
      <c r="J540" s="590">
        <v>38.700000000000003</v>
      </c>
      <c r="K540" s="433">
        <f t="shared" si="40"/>
        <v>0</v>
      </c>
      <c r="L540" s="433">
        <f t="shared" si="41"/>
        <v>38.700000000000003</v>
      </c>
      <c r="M540" s="433">
        <f t="shared" si="42"/>
        <v>0</v>
      </c>
      <c r="N540" s="672"/>
      <c r="O540" s="729">
        <f>IF(N540="",0,N540*K540/'9b-Vloeronderhoud'!$F$4)</f>
        <v>0</v>
      </c>
      <c r="P540" s="672">
        <v>3</v>
      </c>
      <c r="Q540" s="729" t="e">
        <f>IF(O540="",0,P540*L540/'9b-Vloeronderhoud'!$F$6)</f>
        <v>#DIV/0!</v>
      </c>
      <c r="R540" s="449">
        <v>1</v>
      </c>
      <c r="S540" s="672">
        <v>120</v>
      </c>
      <c r="T540" s="161" t="e">
        <f t="shared" si="43"/>
        <v>#DIV/0!</v>
      </c>
      <c r="U540" s="162">
        <f>IF(S540="nio",0,IF(S540&gt;0,VLOOKUP(G540,'3-Productie normen'!A:K,VLOOKUP(S540,'3-Productie normen'!L:N,3,FALSE),FALSE)))</f>
        <v>0</v>
      </c>
      <c r="V540" s="162">
        <f>VLOOKUP(G540,'3-Productie normen'!A:K,10,FALSE)</f>
        <v>6152.9500017547598</v>
      </c>
      <c r="W540" s="163">
        <f>VLOOKUP(G540,'3-Productie normen'!A:K,11,FALSE)</f>
        <v>0</v>
      </c>
      <c r="X540" s="163"/>
      <c r="Z540" s="129">
        <f t="shared" si="44"/>
        <v>4644</v>
      </c>
    </row>
    <row r="541" spans="1:26" ht="14.1" customHeight="1">
      <c r="A541" s="144">
        <v>547</v>
      </c>
      <c r="B541" s="525" t="s">
        <v>238</v>
      </c>
      <c r="C541" s="159" t="s">
        <v>603</v>
      </c>
      <c r="D541" s="132" t="s">
        <v>98</v>
      </c>
      <c r="E541" s="711" t="s">
        <v>303</v>
      </c>
      <c r="F541" s="494" t="s">
        <v>382</v>
      </c>
      <c r="G541" s="460" t="s">
        <v>881</v>
      </c>
      <c r="H541" s="170" t="s">
        <v>333</v>
      </c>
      <c r="I541" s="582" t="str">
        <f>VLOOKUP(H541,'9a-Typen vloeren'!$A$10:$B$40,2,FALSE)</f>
        <v>Schrobben</v>
      </c>
      <c r="J541" s="590">
        <v>3.5</v>
      </c>
      <c r="K541" s="433">
        <f t="shared" si="40"/>
        <v>0</v>
      </c>
      <c r="L541" s="433">
        <f t="shared" si="41"/>
        <v>0</v>
      </c>
      <c r="M541" s="433">
        <f t="shared" si="42"/>
        <v>0</v>
      </c>
      <c r="N541" s="672"/>
      <c r="O541" s="729">
        <f>IF(N541="",0,N541*K541/'9b-Vloeronderhoud'!$F$4)</f>
        <v>0</v>
      </c>
      <c r="P541" s="672"/>
      <c r="Q541" s="729" t="e">
        <f>IF(O541="",0,P541*L541/'9b-Vloeronderhoud'!$F$6)</f>
        <v>#DIV/0!</v>
      </c>
      <c r="R541" s="449">
        <v>1</v>
      </c>
      <c r="S541" s="672" t="s">
        <v>179</v>
      </c>
      <c r="T541" s="161">
        <f t="shared" si="43"/>
        <v>0</v>
      </c>
      <c r="U541" s="162">
        <f>IF(S541="nio",0,IF(S541&gt;0,VLOOKUP(G541,'3-Productie normen'!A:K,VLOOKUP(S541,'3-Productie normen'!L:N,3,FALSE),FALSE)))</f>
        <v>0</v>
      </c>
      <c r="V541" s="162">
        <f>VLOOKUP(G541,'3-Productie normen'!A:K,10,FALSE)</f>
        <v>5262.809993648526</v>
      </c>
      <c r="W541" s="163">
        <f>VLOOKUP(G541,'3-Productie normen'!A:K,11,FALSE)</f>
        <v>0</v>
      </c>
      <c r="X541" s="163"/>
      <c r="Z541" s="129">
        <f t="shared" si="44"/>
        <v>0</v>
      </c>
    </row>
    <row r="542" spans="1:26" ht="14.1" customHeight="1">
      <c r="A542" s="144">
        <v>548</v>
      </c>
      <c r="B542" s="525" t="s">
        <v>238</v>
      </c>
      <c r="C542" s="159" t="s">
        <v>603</v>
      </c>
      <c r="D542" s="132" t="s">
        <v>98</v>
      </c>
      <c r="E542" s="711" t="s">
        <v>305</v>
      </c>
      <c r="F542" s="494" t="s">
        <v>267</v>
      </c>
      <c r="G542" s="545" t="s">
        <v>18</v>
      </c>
      <c r="H542" s="303" t="s">
        <v>955</v>
      </c>
      <c r="I542" s="582" t="str">
        <f>VLOOKUP(H542,'9a-Typen vloeren'!$A$10:$B$40,2,FALSE)</f>
        <v>zie kwaliteitsontwerp</v>
      </c>
      <c r="J542" s="590">
        <v>7.4</v>
      </c>
      <c r="K542" s="433">
        <f t="shared" si="40"/>
        <v>0</v>
      </c>
      <c r="L542" s="433">
        <f t="shared" si="41"/>
        <v>0</v>
      </c>
      <c r="M542" s="433">
        <f t="shared" si="42"/>
        <v>0</v>
      </c>
      <c r="N542" s="672"/>
      <c r="O542" s="729">
        <f>IF(N542="",0,N542*K542/'9b-Vloeronderhoud'!$F$4)</f>
        <v>0</v>
      </c>
      <c r="P542" s="672"/>
      <c r="Q542" s="729" t="e">
        <f>IF(O542="",0,P542*L542/'9b-Vloeronderhoud'!$F$6)</f>
        <v>#DIV/0!</v>
      </c>
      <c r="R542" s="449">
        <v>1</v>
      </c>
      <c r="S542" s="672">
        <v>190</v>
      </c>
      <c r="T542" s="161" t="e">
        <f t="shared" si="43"/>
        <v>#DIV/0!</v>
      </c>
      <c r="U542" s="162">
        <f>IF(S542="nio",0,IF(S542&gt;0,VLOOKUP(G542,'3-Productie normen'!A:K,VLOOKUP(S542,'3-Productie normen'!L:N,3,FALSE),FALSE)))</f>
        <v>0</v>
      </c>
      <c r="V542" s="162">
        <f>VLOOKUP(G542,'3-Productie normen'!A:K,10,FALSE)</f>
        <v>1859.5880019121171</v>
      </c>
      <c r="W542" s="163">
        <f>VLOOKUP(G542,'3-Productie normen'!A:K,11,FALSE)</f>
        <v>0</v>
      </c>
      <c r="X542" s="163"/>
      <c r="Z542" s="129">
        <f t="shared" si="44"/>
        <v>1406</v>
      </c>
    </row>
    <row r="543" spans="1:26" ht="14.1" customHeight="1">
      <c r="A543" s="144">
        <v>549</v>
      </c>
      <c r="B543" s="525" t="s">
        <v>238</v>
      </c>
      <c r="C543" s="159" t="s">
        <v>603</v>
      </c>
      <c r="D543" s="132" t="s">
        <v>98</v>
      </c>
      <c r="E543" s="711" t="s">
        <v>306</v>
      </c>
      <c r="F543" s="494" t="s">
        <v>382</v>
      </c>
      <c r="G543" s="460" t="s">
        <v>881</v>
      </c>
      <c r="H543" s="170" t="s">
        <v>333</v>
      </c>
      <c r="I543" s="582" t="str">
        <f>VLOOKUP(H543,'9a-Typen vloeren'!$A$10:$B$40,2,FALSE)</f>
        <v>Schrobben</v>
      </c>
      <c r="J543" s="590">
        <v>8.3000000000000007</v>
      </c>
      <c r="K543" s="433">
        <f t="shared" si="40"/>
        <v>0</v>
      </c>
      <c r="L543" s="433">
        <f t="shared" si="41"/>
        <v>0</v>
      </c>
      <c r="M543" s="433">
        <f t="shared" si="42"/>
        <v>0</v>
      </c>
      <c r="N543" s="672"/>
      <c r="O543" s="729">
        <f>IF(N543="",0,N543*K543/'9b-Vloeronderhoud'!$F$4)</f>
        <v>0</v>
      </c>
      <c r="P543" s="672"/>
      <c r="Q543" s="729" t="e">
        <f>IF(O543="",0,P543*L543/'9b-Vloeronderhoud'!$F$6)</f>
        <v>#DIV/0!</v>
      </c>
      <c r="R543" s="449">
        <v>1</v>
      </c>
      <c r="S543" s="672" t="s">
        <v>179</v>
      </c>
      <c r="T543" s="161">
        <f t="shared" si="43"/>
        <v>0</v>
      </c>
      <c r="U543" s="162">
        <f>IF(S543="nio",0,IF(S543&gt;0,VLOOKUP(G543,'3-Productie normen'!A:K,VLOOKUP(S543,'3-Productie normen'!L:N,3,FALSE),FALSE)))</f>
        <v>0</v>
      </c>
      <c r="V543" s="162">
        <f>VLOOKUP(G543,'3-Productie normen'!A:K,10,FALSE)</f>
        <v>5262.809993648526</v>
      </c>
      <c r="W543" s="163">
        <f>VLOOKUP(G543,'3-Productie normen'!A:K,11,FALSE)</f>
        <v>0</v>
      </c>
      <c r="X543" s="163"/>
      <c r="Z543" s="129">
        <f t="shared" si="44"/>
        <v>0</v>
      </c>
    </row>
    <row r="544" spans="1:26" ht="14.1" customHeight="1">
      <c r="A544" s="144">
        <v>550</v>
      </c>
      <c r="B544" s="525" t="s">
        <v>238</v>
      </c>
      <c r="C544" s="159" t="s">
        <v>603</v>
      </c>
      <c r="D544" s="132" t="s">
        <v>98</v>
      </c>
      <c r="E544" s="711" t="s">
        <v>307</v>
      </c>
      <c r="F544" s="494" t="s">
        <v>470</v>
      </c>
      <c r="G544" s="545" t="s">
        <v>221</v>
      </c>
      <c r="H544" s="303" t="s">
        <v>332</v>
      </c>
      <c r="I544" s="582" t="str">
        <f>VLOOKUP(H544,'9a-Typen vloeren'!$A$10:$B$40,2,FALSE)</f>
        <v>Sproei/extraheren</v>
      </c>
      <c r="J544" s="590">
        <v>73.3</v>
      </c>
      <c r="K544" s="433">
        <f t="shared" si="40"/>
        <v>0</v>
      </c>
      <c r="L544" s="433">
        <f t="shared" si="41"/>
        <v>0</v>
      </c>
      <c r="M544" s="433">
        <f t="shared" si="42"/>
        <v>73.3</v>
      </c>
      <c r="N544" s="672"/>
      <c r="O544" s="729">
        <f>IF(N544="",0,N544*K544/'9b-Vloeronderhoud'!$F$4)</f>
        <v>0</v>
      </c>
      <c r="P544" s="672"/>
      <c r="Q544" s="729" t="e">
        <f>IF(O544="",0,P544*L544/'9b-Vloeronderhoud'!$F$6)</f>
        <v>#DIV/0!</v>
      </c>
      <c r="R544" s="449">
        <v>1</v>
      </c>
      <c r="S544" s="672">
        <v>80</v>
      </c>
      <c r="T544" s="161" t="e">
        <f t="shared" si="43"/>
        <v>#DIV/0!</v>
      </c>
      <c r="U544" s="162">
        <f>IF(S544="nio",0,IF(S544&gt;0,VLOOKUP(G544,'3-Productie normen'!A:K,VLOOKUP(S544,'3-Productie normen'!L:N,3,FALSE),FALSE)))</f>
        <v>0</v>
      </c>
      <c r="V544" s="162">
        <f>VLOOKUP(G544,'3-Productie normen'!A:K,10,FALSE)</f>
        <v>16013.110036668773</v>
      </c>
      <c r="W544" s="163">
        <f>VLOOKUP(G544,'3-Productie normen'!A:K,11,FALSE)</f>
        <v>0</v>
      </c>
      <c r="X544" s="163"/>
      <c r="Z544" s="129">
        <f t="shared" si="44"/>
        <v>5864</v>
      </c>
    </row>
    <row r="545" spans="1:26" ht="14.1" customHeight="1">
      <c r="A545" s="144">
        <v>551</v>
      </c>
      <c r="B545" s="525" t="s">
        <v>238</v>
      </c>
      <c r="C545" s="159" t="s">
        <v>603</v>
      </c>
      <c r="D545" s="132" t="s">
        <v>98</v>
      </c>
      <c r="E545" s="711" t="s">
        <v>309</v>
      </c>
      <c r="F545" s="494" t="s">
        <v>470</v>
      </c>
      <c r="G545" s="545" t="s">
        <v>221</v>
      </c>
      <c r="H545" s="303" t="s">
        <v>332</v>
      </c>
      <c r="I545" s="582" t="str">
        <f>VLOOKUP(H545,'9a-Typen vloeren'!$A$10:$B$40,2,FALSE)</f>
        <v>Sproei/extraheren</v>
      </c>
      <c r="J545" s="590">
        <v>73.3</v>
      </c>
      <c r="K545" s="433">
        <f t="shared" si="40"/>
        <v>0</v>
      </c>
      <c r="L545" s="433">
        <f t="shared" si="41"/>
        <v>0</v>
      </c>
      <c r="M545" s="433">
        <f t="shared" si="42"/>
        <v>73.3</v>
      </c>
      <c r="N545" s="672"/>
      <c r="O545" s="729">
        <f>IF(N545="",0,N545*K545/'9b-Vloeronderhoud'!$F$4)</f>
        <v>0</v>
      </c>
      <c r="P545" s="672"/>
      <c r="Q545" s="729" t="e">
        <f>IF(O545="",0,P545*L545/'9b-Vloeronderhoud'!$F$6)</f>
        <v>#DIV/0!</v>
      </c>
      <c r="R545" s="449">
        <v>1</v>
      </c>
      <c r="S545" s="672">
        <v>80</v>
      </c>
      <c r="T545" s="161" t="e">
        <f t="shared" si="43"/>
        <v>#DIV/0!</v>
      </c>
      <c r="U545" s="162">
        <f>IF(S545="nio",0,IF(S545&gt;0,VLOOKUP(G545,'3-Productie normen'!A:K,VLOOKUP(S545,'3-Productie normen'!L:N,3,FALSE),FALSE)))</f>
        <v>0</v>
      </c>
      <c r="V545" s="162">
        <f>VLOOKUP(G545,'3-Productie normen'!A:K,10,FALSE)</f>
        <v>16013.110036668773</v>
      </c>
      <c r="W545" s="163">
        <f>VLOOKUP(G545,'3-Productie normen'!A:K,11,FALSE)</f>
        <v>0</v>
      </c>
      <c r="X545" s="163"/>
      <c r="Z545" s="129">
        <f t="shared" si="44"/>
        <v>5864</v>
      </c>
    </row>
    <row r="546" spans="1:26" ht="14.1" customHeight="1">
      <c r="A546" s="144">
        <v>552</v>
      </c>
      <c r="B546" s="525" t="s">
        <v>238</v>
      </c>
      <c r="C546" s="159" t="s">
        <v>603</v>
      </c>
      <c r="D546" s="132" t="s">
        <v>98</v>
      </c>
      <c r="E546" s="711" t="s">
        <v>294</v>
      </c>
      <c r="F546" s="494" t="s">
        <v>489</v>
      </c>
      <c r="G546" s="553" t="s">
        <v>99</v>
      </c>
      <c r="H546" s="170" t="s">
        <v>802</v>
      </c>
      <c r="I546" s="582" t="str">
        <f>VLOOKUP(H546,'9a-Typen vloeren'!$A$10:$B$40,2,FALSE)</f>
        <v>n.v.t.</v>
      </c>
      <c r="J546" s="590">
        <v>17.3</v>
      </c>
      <c r="K546" s="433">
        <f t="shared" si="40"/>
        <v>0</v>
      </c>
      <c r="L546" s="433">
        <f t="shared" si="41"/>
        <v>0</v>
      </c>
      <c r="M546" s="433">
        <f t="shared" si="42"/>
        <v>0</v>
      </c>
      <c r="N546" s="672"/>
      <c r="O546" s="729">
        <f>IF(N546="",0,N546*K546/'9b-Vloeronderhoud'!$F$4)</f>
        <v>0</v>
      </c>
      <c r="P546" s="672"/>
      <c r="Q546" s="729" t="e">
        <f>IF(O546="",0,P546*L546/'9b-Vloeronderhoud'!$F$6)</f>
        <v>#DIV/0!</v>
      </c>
      <c r="R546" s="449">
        <v>1</v>
      </c>
      <c r="S546" s="672">
        <v>190</v>
      </c>
      <c r="T546" s="161" t="e">
        <f t="shared" si="43"/>
        <v>#DIV/0!</v>
      </c>
      <c r="U546" s="162">
        <f>IF(S546="nio",0,IF(S546&gt;0,VLOOKUP(G546,'3-Productie normen'!A:K,VLOOKUP(S546,'3-Productie normen'!L:N,3,FALSE),FALSE)))</f>
        <v>0</v>
      </c>
      <c r="V546" s="162">
        <f>VLOOKUP(G546,'3-Productie normen'!A:K,10,FALSE)</f>
        <v>726.97999910354622</v>
      </c>
      <c r="W546" s="163">
        <f>VLOOKUP(G546,'3-Productie normen'!A:K,11,FALSE)</f>
        <v>0</v>
      </c>
      <c r="X546" s="163"/>
      <c r="Z546" s="129">
        <f t="shared" si="44"/>
        <v>3287</v>
      </c>
    </row>
    <row r="547" spans="1:26" ht="14.1" customHeight="1">
      <c r="A547" s="144">
        <v>553</v>
      </c>
      <c r="B547" s="525" t="s">
        <v>238</v>
      </c>
      <c r="C547" s="159" t="s">
        <v>603</v>
      </c>
      <c r="D547" s="132" t="s">
        <v>98</v>
      </c>
      <c r="E547" s="711" t="s">
        <v>295</v>
      </c>
      <c r="F547" s="494" t="s">
        <v>404</v>
      </c>
      <c r="G547" s="545" t="s">
        <v>286</v>
      </c>
      <c r="H547" s="170" t="s">
        <v>333</v>
      </c>
      <c r="I547" s="582" t="str">
        <f>VLOOKUP(H547,'9a-Typen vloeren'!$A$10:$B$40,2,FALSE)</f>
        <v>Schrobben</v>
      </c>
      <c r="J547" s="590">
        <v>45</v>
      </c>
      <c r="K547" s="433">
        <f t="shared" si="40"/>
        <v>0</v>
      </c>
      <c r="L547" s="433">
        <f t="shared" si="41"/>
        <v>45</v>
      </c>
      <c r="M547" s="433">
        <f t="shared" si="42"/>
        <v>0</v>
      </c>
      <c r="N547" s="672"/>
      <c r="O547" s="729">
        <f>IF(N547="",0,N547*K547/'9b-Vloeronderhoud'!$F$4)</f>
        <v>0</v>
      </c>
      <c r="P547" s="672">
        <v>3</v>
      </c>
      <c r="Q547" s="729" t="e">
        <f>IF(O547="",0,P547*L547/'9b-Vloeronderhoud'!$F$6)</f>
        <v>#DIV/0!</v>
      </c>
      <c r="R547" s="449">
        <v>1</v>
      </c>
      <c r="S547" s="672">
        <v>120</v>
      </c>
      <c r="T547" s="161" t="e">
        <f t="shared" si="43"/>
        <v>#DIV/0!</v>
      </c>
      <c r="U547" s="162">
        <f>IF(S547="nio",0,IF(S547&gt;0,VLOOKUP(G547,'3-Productie normen'!A:K,VLOOKUP(S547,'3-Productie normen'!L:N,3,FALSE),FALSE)))</f>
        <v>0</v>
      </c>
      <c r="V547" s="162">
        <f>VLOOKUP(G547,'3-Productie normen'!A:K,10,FALSE)</f>
        <v>6152.9500017547598</v>
      </c>
      <c r="W547" s="163">
        <f>VLOOKUP(G547,'3-Productie normen'!A:K,11,FALSE)</f>
        <v>0</v>
      </c>
      <c r="X547" s="163"/>
      <c r="Z547" s="129">
        <f t="shared" si="44"/>
        <v>5400</v>
      </c>
    </row>
    <row r="548" spans="1:26" ht="14.1" customHeight="1">
      <c r="A548" s="144">
        <v>554</v>
      </c>
      <c r="B548" s="525" t="s">
        <v>238</v>
      </c>
      <c r="C548" s="159" t="s">
        <v>603</v>
      </c>
      <c r="D548" s="132" t="s">
        <v>98</v>
      </c>
      <c r="E548" s="711" t="s">
        <v>296</v>
      </c>
      <c r="F548" s="494" t="s">
        <v>496</v>
      </c>
      <c r="G548" s="545" t="s">
        <v>190</v>
      </c>
      <c r="H548" s="170" t="s">
        <v>335</v>
      </c>
      <c r="I548" s="582" t="str">
        <f>VLOOKUP(H548,'9a-Typen vloeren'!$A$10:$B$40,2,FALSE)</f>
        <v>Schrobben</v>
      </c>
      <c r="J548" s="590">
        <v>20.2</v>
      </c>
      <c r="K548" s="433">
        <f t="shared" si="40"/>
        <v>0</v>
      </c>
      <c r="L548" s="433">
        <f t="shared" si="41"/>
        <v>20.2</v>
      </c>
      <c r="M548" s="433">
        <f t="shared" si="42"/>
        <v>0</v>
      </c>
      <c r="N548" s="672"/>
      <c r="O548" s="729">
        <f>IF(N548="",0,N548*K548/'9b-Vloeronderhoud'!$F$4)</f>
        <v>0</v>
      </c>
      <c r="P548" s="672">
        <v>3</v>
      </c>
      <c r="Q548" s="729" t="e">
        <f>IF(O548="",0,P548*L548/'9b-Vloeronderhoud'!$F$6)</f>
        <v>#DIV/0!</v>
      </c>
      <c r="R548" s="449">
        <v>1</v>
      </c>
      <c r="S548" s="672">
        <v>40</v>
      </c>
      <c r="T548" s="161" t="e">
        <f t="shared" si="43"/>
        <v>#DIV/0!</v>
      </c>
      <c r="U548" s="162">
        <f>IF(S548="nio",0,IF(S548&gt;0,VLOOKUP(G548,'3-Productie normen'!A:K,VLOOKUP(S548,'3-Productie normen'!L:N,3,FALSE),FALSE)))</f>
        <v>0</v>
      </c>
      <c r="V548" s="162">
        <f>VLOOKUP(G548,'3-Productie normen'!A:K,10,FALSE)</f>
        <v>281.65000052452086</v>
      </c>
      <c r="W548" s="163">
        <f>VLOOKUP(G548,'3-Productie normen'!A:K,11,FALSE)</f>
        <v>0</v>
      </c>
      <c r="X548" s="163"/>
      <c r="Z548" s="129">
        <f t="shared" si="44"/>
        <v>808</v>
      </c>
    </row>
    <row r="549" spans="1:26" ht="14.1" customHeight="1">
      <c r="A549" s="144">
        <v>555</v>
      </c>
      <c r="B549" s="525" t="s">
        <v>238</v>
      </c>
      <c r="C549" s="159" t="s">
        <v>603</v>
      </c>
      <c r="D549" s="132" t="s">
        <v>98</v>
      </c>
      <c r="E549" s="711" t="s">
        <v>298</v>
      </c>
      <c r="F549" s="494" t="s">
        <v>556</v>
      </c>
      <c r="G549" s="548" t="s">
        <v>299</v>
      </c>
      <c r="H549" s="170" t="s">
        <v>335</v>
      </c>
      <c r="I549" s="582" t="str">
        <f>VLOOKUP(H549,'9a-Typen vloeren'!$A$10:$B$40,2,FALSE)</f>
        <v>Schrobben</v>
      </c>
      <c r="J549" s="590">
        <v>39.299999999999997</v>
      </c>
      <c r="K549" s="433">
        <f t="shared" si="40"/>
        <v>0</v>
      </c>
      <c r="L549" s="433">
        <f t="shared" si="41"/>
        <v>39.299999999999997</v>
      </c>
      <c r="M549" s="433">
        <f t="shared" si="42"/>
        <v>0</v>
      </c>
      <c r="N549" s="672"/>
      <c r="O549" s="729">
        <f>IF(N549="",0,N549*K549/'9b-Vloeronderhoud'!$F$4)</f>
        <v>0</v>
      </c>
      <c r="P549" s="672"/>
      <c r="Q549" s="729" t="e">
        <f>IF(O549="",0,P549*L549/'9b-Vloeronderhoud'!$F$6)</f>
        <v>#DIV/0!</v>
      </c>
      <c r="R549" s="449">
        <v>1</v>
      </c>
      <c r="S549" s="672">
        <v>40</v>
      </c>
      <c r="T549" s="161" t="e">
        <f t="shared" si="43"/>
        <v>#DIV/0!</v>
      </c>
      <c r="U549" s="162">
        <f>IF(S549="nio",0,IF(S549&gt;0,VLOOKUP(G549,'3-Productie normen'!A:K,VLOOKUP(S549,'3-Productie normen'!L:N,3,FALSE),FALSE)))</f>
        <v>0</v>
      </c>
      <c r="V549" s="162">
        <f>VLOOKUP(G549,'3-Productie normen'!A:K,10,FALSE)</f>
        <v>1107.9100014114381</v>
      </c>
      <c r="W549" s="163">
        <f>VLOOKUP(G549,'3-Productie normen'!A:K,11,FALSE)</f>
        <v>0</v>
      </c>
      <c r="X549" s="163"/>
      <c r="Z549" s="129">
        <f t="shared" si="44"/>
        <v>1572</v>
      </c>
    </row>
    <row r="550" spans="1:26" ht="14.1" customHeight="1">
      <c r="A550" s="144">
        <v>556</v>
      </c>
      <c r="B550" s="525" t="s">
        <v>238</v>
      </c>
      <c r="C550" s="159" t="s">
        <v>603</v>
      </c>
      <c r="D550" s="132" t="s">
        <v>98</v>
      </c>
      <c r="E550" s="711" t="s">
        <v>301</v>
      </c>
      <c r="F550" s="494" t="s">
        <v>382</v>
      </c>
      <c r="G550" s="460" t="s">
        <v>881</v>
      </c>
      <c r="H550" s="170" t="s">
        <v>333</v>
      </c>
      <c r="I550" s="582" t="str">
        <f>VLOOKUP(H550,'9a-Typen vloeren'!$A$10:$B$40,2,FALSE)</f>
        <v>Schrobben</v>
      </c>
      <c r="J550" s="590">
        <v>13.1</v>
      </c>
      <c r="K550" s="433">
        <f t="shared" si="40"/>
        <v>0</v>
      </c>
      <c r="L550" s="433">
        <f t="shared" si="41"/>
        <v>0</v>
      </c>
      <c r="M550" s="433">
        <f t="shared" si="42"/>
        <v>0</v>
      </c>
      <c r="N550" s="672"/>
      <c r="O550" s="729">
        <f>IF(N550="",0,N550*K550/'9b-Vloeronderhoud'!$F$4)</f>
        <v>0</v>
      </c>
      <c r="P550" s="672"/>
      <c r="Q550" s="729" t="e">
        <f>IF(O550="",0,P550*L550/'9b-Vloeronderhoud'!$F$6)</f>
        <v>#DIV/0!</v>
      </c>
      <c r="R550" s="449">
        <v>1</v>
      </c>
      <c r="S550" s="672" t="s">
        <v>179</v>
      </c>
      <c r="T550" s="161">
        <f t="shared" si="43"/>
        <v>0</v>
      </c>
      <c r="U550" s="162">
        <f>IF(S550="nio",0,IF(S550&gt;0,VLOOKUP(G550,'3-Productie normen'!A:K,VLOOKUP(S550,'3-Productie normen'!L:N,3,FALSE),FALSE)))</f>
        <v>0</v>
      </c>
      <c r="V550" s="162">
        <f>VLOOKUP(G550,'3-Productie normen'!A:K,10,FALSE)</f>
        <v>5262.809993648526</v>
      </c>
      <c r="W550" s="163">
        <f>VLOOKUP(G550,'3-Productie normen'!A:K,11,FALSE)</f>
        <v>0</v>
      </c>
      <c r="X550" s="163"/>
      <c r="Z550" s="129">
        <f t="shared" si="44"/>
        <v>0</v>
      </c>
    </row>
    <row r="551" spans="1:26" ht="14.1" customHeight="1">
      <c r="A551" s="144">
        <v>557</v>
      </c>
      <c r="B551" s="525" t="s">
        <v>238</v>
      </c>
      <c r="C551" s="159" t="s">
        <v>603</v>
      </c>
      <c r="D551" s="132" t="s">
        <v>98</v>
      </c>
      <c r="E551" s="711" t="s">
        <v>303</v>
      </c>
      <c r="F551" s="494" t="s">
        <v>582</v>
      </c>
      <c r="G551" s="545" t="s">
        <v>189</v>
      </c>
      <c r="H551" s="303" t="s">
        <v>332</v>
      </c>
      <c r="I551" s="582" t="str">
        <f>VLOOKUP(H551,'9a-Typen vloeren'!$A$10:$B$40,2,FALSE)</f>
        <v>Sproei/extraheren</v>
      </c>
      <c r="J551" s="590">
        <v>6.9</v>
      </c>
      <c r="K551" s="433">
        <f t="shared" si="40"/>
        <v>0</v>
      </c>
      <c r="L551" s="433">
        <f t="shared" si="41"/>
        <v>0</v>
      </c>
      <c r="M551" s="433">
        <f t="shared" si="42"/>
        <v>6.9</v>
      </c>
      <c r="N551" s="672"/>
      <c r="O551" s="729">
        <f>IF(N551="",0,N551*K551/'9b-Vloeronderhoud'!$F$4)</f>
        <v>0</v>
      </c>
      <c r="P551" s="672"/>
      <c r="Q551" s="729" t="e">
        <f>IF(O551="",0,P551*L551/'9b-Vloeronderhoud'!$F$6)</f>
        <v>#DIV/0!</v>
      </c>
      <c r="R551" s="449">
        <v>1</v>
      </c>
      <c r="S551" s="672">
        <v>40</v>
      </c>
      <c r="T551" s="161" t="e">
        <f t="shared" si="43"/>
        <v>#DIV/0!</v>
      </c>
      <c r="U551" s="162">
        <f>IF(S551="nio",0,IF(S551&gt;0,VLOOKUP(G551,'3-Productie normen'!A:K,VLOOKUP(S551,'3-Productie normen'!L:N,3,FALSE),FALSE)))</f>
        <v>0</v>
      </c>
      <c r="V551" s="162">
        <f>VLOOKUP(G551,'3-Productie normen'!A:K,10,FALSE)</f>
        <v>1494.1700078582762</v>
      </c>
      <c r="W551" s="163">
        <f>VLOOKUP(G551,'3-Productie normen'!A:K,11,FALSE)</f>
        <v>0</v>
      </c>
      <c r="X551" s="163"/>
      <c r="Z551" s="129">
        <f t="shared" si="44"/>
        <v>276</v>
      </c>
    </row>
    <row r="552" spans="1:26" ht="14.1" customHeight="1">
      <c r="A552" s="144">
        <v>558</v>
      </c>
      <c r="B552" s="525" t="s">
        <v>238</v>
      </c>
      <c r="C552" s="159" t="s">
        <v>603</v>
      </c>
      <c r="D552" s="132" t="s">
        <v>98</v>
      </c>
      <c r="E552" s="711" t="s">
        <v>305</v>
      </c>
      <c r="F552" s="494" t="s">
        <v>582</v>
      </c>
      <c r="G552" s="547" t="s">
        <v>189</v>
      </c>
      <c r="H552" s="303" t="s">
        <v>332</v>
      </c>
      <c r="I552" s="582" t="str">
        <f>VLOOKUP(H552,'9a-Typen vloeren'!$A$10:$B$40,2,FALSE)</f>
        <v>Sproei/extraheren</v>
      </c>
      <c r="J552" s="590">
        <v>6.9</v>
      </c>
      <c r="K552" s="433">
        <f t="shared" si="40"/>
        <v>0</v>
      </c>
      <c r="L552" s="433">
        <f t="shared" si="41"/>
        <v>0</v>
      </c>
      <c r="M552" s="433">
        <f t="shared" si="42"/>
        <v>6.9</v>
      </c>
      <c r="N552" s="672"/>
      <c r="O552" s="729">
        <f>IF(N552="",0,N552*K552/'9b-Vloeronderhoud'!$F$4)</f>
        <v>0</v>
      </c>
      <c r="P552" s="672"/>
      <c r="Q552" s="729" t="e">
        <f>IF(O552="",0,P552*L552/'9b-Vloeronderhoud'!$F$6)</f>
        <v>#DIV/0!</v>
      </c>
      <c r="R552" s="449">
        <v>1</v>
      </c>
      <c r="S552" s="672">
        <v>40</v>
      </c>
      <c r="T552" s="161" t="e">
        <f t="shared" si="43"/>
        <v>#DIV/0!</v>
      </c>
      <c r="U552" s="162">
        <f>IF(S552="nio",0,IF(S552&gt;0,VLOOKUP(G552,'3-Productie normen'!A:K,VLOOKUP(S552,'3-Productie normen'!L:N,3,FALSE),FALSE)))</f>
        <v>0</v>
      </c>
      <c r="V552" s="162">
        <f>VLOOKUP(G552,'3-Productie normen'!A:K,10,FALSE)</f>
        <v>1494.1700078582762</v>
      </c>
      <c r="W552" s="163">
        <f>VLOOKUP(G552,'3-Productie normen'!A:K,11,FALSE)</f>
        <v>0</v>
      </c>
      <c r="X552" s="163"/>
      <c r="Z552" s="129">
        <f t="shared" si="44"/>
        <v>276</v>
      </c>
    </row>
    <row r="553" spans="1:26" ht="14.1" customHeight="1">
      <c r="A553" s="144">
        <v>559</v>
      </c>
      <c r="B553" s="525" t="s">
        <v>238</v>
      </c>
      <c r="C553" s="159" t="s">
        <v>603</v>
      </c>
      <c r="D553" s="132" t="s">
        <v>98</v>
      </c>
      <c r="E553" s="711" t="s">
        <v>306</v>
      </c>
      <c r="F553" s="494" t="s">
        <v>445</v>
      </c>
      <c r="G553" s="548" t="s">
        <v>189</v>
      </c>
      <c r="H553" s="303" t="s">
        <v>332</v>
      </c>
      <c r="I553" s="582" t="str">
        <f>VLOOKUP(H553,'9a-Typen vloeren'!$A$10:$B$40,2,FALSE)</f>
        <v>Sproei/extraheren</v>
      </c>
      <c r="J553" s="590">
        <v>22.6</v>
      </c>
      <c r="K553" s="433">
        <f t="shared" si="40"/>
        <v>0</v>
      </c>
      <c r="L553" s="433">
        <f t="shared" si="41"/>
        <v>0</v>
      </c>
      <c r="M553" s="433">
        <f t="shared" si="42"/>
        <v>22.6</v>
      </c>
      <c r="N553" s="672"/>
      <c r="O553" s="729">
        <f>IF(N553="",0,N553*K553/'9b-Vloeronderhoud'!$F$4)</f>
        <v>0</v>
      </c>
      <c r="P553" s="672"/>
      <c r="Q553" s="729" t="e">
        <f>IF(O553="",0,P553*L553/'9b-Vloeronderhoud'!$F$6)</f>
        <v>#DIV/0!</v>
      </c>
      <c r="R553" s="449">
        <v>1</v>
      </c>
      <c r="S553" s="672">
        <v>40</v>
      </c>
      <c r="T553" s="161" t="e">
        <f t="shared" si="43"/>
        <v>#DIV/0!</v>
      </c>
      <c r="U553" s="162">
        <f>IF(S553="nio",0,IF(S553&gt;0,VLOOKUP(G553,'3-Productie normen'!A:K,VLOOKUP(S553,'3-Productie normen'!L:N,3,FALSE),FALSE)))</f>
        <v>0</v>
      </c>
      <c r="V553" s="162">
        <f>VLOOKUP(G553,'3-Productie normen'!A:K,10,FALSE)</f>
        <v>1494.1700078582762</v>
      </c>
      <c r="W553" s="163">
        <f>VLOOKUP(G553,'3-Productie normen'!A:K,11,FALSE)</f>
        <v>0</v>
      </c>
      <c r="X553" s="163"/>
      <c r="Z553" s="129">
        <f t="shared" si="44"/>
        <v>904</v>
      </c>
    </row>
    <row r="554" spans="1:26" ht="14.1" customHeight="1">
      <c r="A554" s="144">
        <v>560</v>
      </c>
      <c r="B554" s="525" t="s">
        <v>238</v>
      </c>
      <c r="C554" s="159" t="s">
        <v>603</v>
      </c>
      <c r="D554" s="132" t="s">
        <v>98</v>
      </c>
      <c r="E554" s="711" t="s">
        <v>307</v>
      </c>
      <c r="F554" s="494" t="s">
        <v>582</v>
      </c>
      <c r="G554" s="547" t="s">
        <v>189</v>
      </c>
      <c r="H554" s="303" t="s">
        <v>332</v>
      </c>
      <c r="I554" s="582" t="str">
        <f>VLOOKUP(H554,'9a-Typen vloeren'!$A$10:$B$40,2,FALSE)</f>
        <v>Sproei/extraheren</v>
      </c>
      <c r="J554" s="590">
        <v>12.7</v>
      </c>
      <c r="K554" s="433">
        <f t="shared" si="40"/>
        <v>0</v>
      </c>
      <c r="L554" s="433">
        <f t="shared" si="41"/>
        <v>0</v>
      </c>
      <c r="M554" s="433">
        <f t="shared" si="42"/>
        <v>12.7</v>
      </c>
      <c r="N554" s="672"/>
      <c r="O554" s="729">
        <f>IF(N554="",0,N554*K554/'9b-Vloeronderhoud'!$F$4)</f>
        <v>0</v>
      </c>
      <c r="P554" s="672"/>
      <c r="Q554" s="729" t="e">
        <f>IF(O554="",0,P554*L554/'9b-Vloeronderhoud'!$F$6)</f>
        <v>#DIV/0!</v>
      </c>
      <c r="R554" s="449">
        <v>1</v>
      </c>
      <c r="S554" s="672">
        <v>40</v>
      </c>
      <c r="T554" s="161" t="e">
        <f t="shared" si="43"/>
        <v>#DIV/0!</v>
      </c>
      <c r="U554" s="162">
        <f>IF(S554="nio",0,IF(S554&gt;0,VLOOKUP(G554,'3-Productie normen'!A:K,VLOOKUP(S554,'3-Productie normen'!L:N,3,FALSE),FALSE)))</f>
        <v>0</v>
      </c>
      <c r="V554" s="162">
        <f>VLOOKUP(G554,'3-Productie normen'!A:K,10,FALSE)</f>
        <v>1494.1700078582762</v>
      </c>
      <c r="W554" s="163">
        <f>VLOOKUP(G554,'3-Productie normen'!A:K,11,FALSE)</f>
        <v>0</v>
      </c>
      <c r="X554" s="163"/>
      <c r="Z554" s="129">
        <f t="shared" si="44"/>
        <v>508</v>
      </c>
    </row>
    <row r="555" spans="1:26" ht="14.1" customHeight="1">
      <c r="A555" s="144">
        <v>561</v>
      </c>
      <c r="B555" s="525" t="s">
        <v>238</v>
      </c>
      <c r="C555" s="159" t="s">
        <v>603</v>
      </c>
      <c r="D555" s="132" t="s">
        <v>98</v>
      </c>
      <c r="E555" s="711" t="s">
        <v>309</v>
      </c>
      <c r="F555" s="494" t="s">
        <v>451</v>
      </c>
      <c r="G555" s="460" t="s">
        <v>881</v>
      </c>
      <c r="H555" s="170" t="s">
        <v>333</v>
      </c>
      <c r="I555" s="582" t="str">
        <f>VLOOKUP(H555,'9a-Typen vloeren'!$A$10:$B$40,2,FALSE)</f>
        <v>Schrobben</v>
      </c>
      <c r="J555" s="590">
        <v>2.4</v>
      </c>
      <c r="K555" s="433">
        <f t="shared" si="40"/>
        <v>0</v>
      </c>
      <c r="L555" s="433">
        <f t="shared" si="41"/>
        <v>0</v>
      </c>
      <c r="M555" s="433">
        <f t="shared" si="42"/>
        <v>0</v>
      </c>
      <c r="N555" s="672"/>
      <c r="O555" s="729">
        <f>IF(N555="",0,N555*K555/'9b-Vloeronderhoud'!$F$4)</f>
        <v>0</v>
      </c>
      <c r="P555" s="672"/>
      <c r="Q555" s="729" t="e">
        <f>IF(O555="",0,P555*L555/'9b-Vloeronderhoud'!$F$6)</f>
        <v>#DIV/0!</v>
      </c>
      <c r="R555" s="449">
        <v>1</v>
      </c>
      <c r="S555" s="672" t="s">
        <v>179</v>
      </c>
      <c r="T555" s="161">
        <f t="shared" si="43"/>
        <v>0</v>
      </c>
      <c r="U555" s="162">
        <f>IF(S555="nio",0,IF(S555&gt;0,VLOOKUP(G555,'3-Productie normen'!A:K,VLOOKUP(S555,'3-Productie normen'!L:N,3,FALSE),FALSE)))</f>
        <v>0</v>
      </c>
      <c r="V555" s="162">
        <f>VLOOKUP(G555,'3-Productie normen'!A:K,10,FALSE)</f>
        <v>5262.809993648526</v>
      </c>
      <c r="W555" s="163">
        <f>VLOOKUP(G555,'3-Productie normen'!A:K,11,FALSE)</f>
        <v>0</v>
      </c>
      <c r="X555" s="163"/>
      <c r="Z555" s="129">
        <f t="shared" si="44"/>
        <v>0</v>
      </c>
    </row>
    <row r="556" spans="1:26" ht="14.1" customHeight="1">
      <c r="A556" s="144">
        <v>562</v>
      </c>
      <c r="B556" s="525" t="s">
        <v>238</v>
      </c>
      <c r="C556" s="159" t="s">
        <v>603</v>
      </c>
      <c r="D556" s="132" t="s">
        <v>98</v>
      </c>
      <c r="E556" s="711" t="s">
        <v>311</v>
      </c>
      <c r="F556" s="494" t="s">
        <v>757</v>
      </c>
      <c r="G556" s="547" t="s">
        <v>18</v>
      </c>
      <c r="H556" s="303" t="s">
        <v>955</v>
      </c>
      <c r="I556" s="582" t="str">
        <f>VLOOKUP(H556,'9a-Typen vloeren'!$A$10:$B$40,2,FALSE)</f>
        <v>zie kwaliteitsontwerp</v>
      </c>
      <c r="J556" s="590">
        <v>3.9</v>
      </c>
      <c r="K556" s="433">
        <f t="shared" si="40"/>
        <v>0</v>
      </c>
      <c r="L556" s="433">
        <f t="shared" si="41"/>
        <v>0</v>
      </c>
      <c r="M556" s="433">
        <f t="shared" si="42"/>
        <v>0</v>
      </c>
      <c r="N556" s="672"/>
      <c r="O556" s="729">
        <f>IF(N556="",0,N556*K556/'9b-Vloeronderhoud'!$F$4)</f>
        <v>0</v>
      </c>
      <c r="P556" s="672"/>
      <c r="Q556" s="729" t="e">
        <f>IF(O556="",0,P556*L556/'9b-Vloeronderhoud'!$F$6)</f>
        <v>#DIV/0!</v>
      </c>
      <c r="R556" s="449">
        <v>1</v>
      </c>
      <c r="S556" s="672">
        <v>190</v>
      </c>
      <c r="T556" s="161" t="e">
        <f t="shared" si="43"/>
        <v>#DIV/0!</v>
      </c>
      <c r="U556" s="162">
        <f>IF(S556="nio",0,IF(S556&gt;0,VLOOKUP(G556,'3-Productie normen'!A:K,VLOOKUP(S556,'3-Productie normen'!L:N,3,FALSE),FALSE)))</f>
        <v>0</v>
      </c>
      <c r="V556" s="162">
        <f>VLOOKUP(G556,'3-Productie normen'!A:K,10,FALSE)</f>
        <v>1859.5880019121171</v>
      </c>
      <c r="W556" s="163">
        <f>VLOOKUP(G556,'3-Productie normen'!A:K,11,FALSE)</f>
        <v>0</v>
      </c>
      <c r="X556" s="163"/>
      <c r="Z556" s="129">
        <f t="shared" si="44"/>
        <v>741</v>
      </c>
    </row>
    <row r="557" spans="1:26" ht="14.1" customHeight="1">
      <c r="A557" s="144">
        <v>563</v>
      </c>
      <c r="B557" s="525" t="s">
        <v>238</v>
      </c>
      <c r="C557" s="159" t="s">
        <v>603</v>
      </c>
      <c r="D557" s="132" t="s">
        <v>98</v>
      </c>
      <c r="E557" s="711" t="s">
        <v>312</v>
      </c>
      <c r="F557" s="494" t="s">
        <v>267</v>
      </c>
      <c r="G557" s="548" t="s">
        <v>18</v>
      </c>
      <c r="H557" s="303" t="s">
        <v>955</v>
      </c>
      <c r="I557" s="582" t="str">
        <f>VLOOKUP(H557,'9a-Typen vloeren'!$A$10:$B$40,2,FALSE)</f>
        <v>zie kwaliteitsontwerp</v>
      </c>
      <c r="J557" s="590">
        <v>2.2000000000000002</v>
      </c>
      <c r="K557" s="433">
        <f t="shared" si="40"/>
        <v>0</v>
      </c>
      <c r="L557" s="433">
        <f t="shared" si="41"/>
        <v>0</v>
      </c>
      <c r="M557" s="433">
        <f t="shared" si="42"/>
        <v>0</v>
      </c>
      <c r="N557" s="672"/>
      <c r="O557" s="729">
        <f>IF(N557="",0,N557*K557/'9b-Vloeronderhoud'!$F$4)</f>
        <v>0</v>
      </c>
      <c r="P557" s="672"/>
      <c r="Q557" s="729" t="e">
        <f>IF(O557="",0,P557*L557/'9b-Vloeronderhoud'!$F$6)</f>
        <v>#DIV/0!</v>
      </c>
      <c r="R557" s="449">
        <v>1</v>
      </c>
      <c r="S557" s="672">
        <v>190</v>
      </c>
      <c r="T557" s="161" t="e">
        <f t="shared" si="43"/>
        <v>#DIV/0!</v>
      </c>
      <c r="U557" s="162">
        <f>IF(S557="nio",0,IF(S557&gt;0,VLOOKUP(G557,'3-Productie normen'!A:K,VLOOKUP(S557,'3-Productie normen'!L:N,3,FALSE),FALSE)))</f>
        <v>0</v>
      </c>
      <c r="V557" s="162">
        <f>VLOOKUP(G557,'3-Productie normen'!A:K,10,FALSE)</f>
        <v>1859.5880019121171</v>
      </c>
      <c r="W557" s="163">
        <f>VLOOKUP(G557,'3-Productie normen'!A:K,11,FALSE)</f>
        <v>0</v>
      </c>
      <c r="X557" s="163"/>
      <c r="Z557" s="129">
        <f t="shared" si="44"/>
        <v>418.00000000000006</v>
      </c>
    </row>
    <row r="558" spans="1:26" ht="14.1" customHeight="1">
      <c r="A558" s="144">
        <v>564</v>
      </c>
      <c r="B558" s="525" t="s">
        <v>238</v>
      </c>
      <c r="C558" s="159" t="s">
        <v>603</v>
      </c>
      <c r="D558" s="132" t="s">
        <v>98</v>
      </c>
      <c r="E558" s="711" t="s">
        <v>314</v>
      </c>
      <c r="F558" s="494" t="s">
        <v>480</v>
      </c>
      <c r="G558" s="122" t="s">
        <v>480</v>
      </c>
      <c r="H558" s="170" t="s">
        <v>100</v>
      </c>
      <c r="I558" s="582" t="str">
        <f>VLOOKUP(H558,'9a-Typen vloeren'!$A$10:$B$40,2,FALSE)</f>
        <v>Sprayen/ conserveren</v>
      </c>
      <c r="J558" s="590">
        <v>3</v>
      </c>
      <c r="K558" s="433">
        <f t="shared" si="40"/>
        <v>3</v>
      </c>
      <c r="L558" s="433">
        <f t="shared" si="41"/>
        <v>0</v>
      </c>
      <c r="M558" s="433">
        <f t="shared" si="42"/>
        <v>0</v>
      </c>
      <c r="N558" s="672"/>
      <c r="O558" s="729">
        <f>IF(N558="",0,N558*K558/'9b-Vloeronderhoud'!$F$4)</f>
        <v>0</v>
      </c>
      <c r="P558" s="672"/>
      <c r="Q558" s="729" t="e">
        <f>IF(O558="",0,P558*L558/'9b-Vloeronderhoud'!$F$6)</f>
        <v>#DIV/0!</v>
      </c>
      <c r="R558" s="449">
        <v>1</v>
      </c>
      <c r="S558" s="672">
        <v>40</v>
      </c>
      <c r="T558" s="161" t="e">
        <f t="shared" si="43"/>
        <v>#DIV/0!</v>
      </c>
      <c r="U558" s="162">
        <f>IF(S558="nio",0,IF(S558&gt;0,VLOOKUP(G558,'3-Productie normen'!A:K,VLOOKUP(S558,'3-Productie normen'!L:N,3,FALSE),FALSE)))</f>
        <v>0</v>
      </c>
      <c r="V558" s="162">
        <f>VLOOKUP(G558,'3-Productie normen'!A:K,10,FALSE)</f>
        <v>31.690000023841854</v>
      </c>
      <c r="W558" s="163">
        <f>VLOOKUP(G558,'3-Productie normen'!A:K,11,FALSE)</f>
        <v>0</v>
      </c>
      <c r="X558" s="163"/>
      <c r="Z558" s="129">
        <f t="shared" si="44"/>
        <v>120</v>
      </c>
    </row>
    <row r="559" spans="1:26" ht="14.1" customHeight="1">
      <c r="A559" s="144">
        <v>565</v>
      </c>
      <c r="B559" s="525" t="s">
        <v>238</v>
      </c>
      <c r="C559" s="159" t="s">
        <v>603</v>
      </c>
      <c r="D559" s="132" t="s">
        <v>98</v>
      </c>
      <c r="E559" s="711" t="s">
        <v>315</v>
      </c>
      <c r="F559" s="494" t="s">
        <v>470</v>
      </c>
      <c r="G559" s="460" t="s">
        <v>221</v>
      </c>
      <c r="H559" s="303" t="s">
        <v>332</v>
      </c>
      <c r="I559" s="582" t="str">
        <f>VLOOKUP(H559,'9a-Typen vloeren'!$A$10:$B$40,2,FALSE)</f>
        <v>Sproei/extraheren</v>
      </c>
      <c r="J559" s="590">
        <v>55.9</v>
      </c>
      <c r="K559" s="433">
        <f t="shared" si="40"/>
        <v>0</v>
      </c>
      <c r="L559" s="433">
        <f t="shared" si="41"/>
        <v>0</v>
      </c>
      <c r="M559" s="433">
        <f t="shared" si="42"/>
        <v>55.9</v>
      </c>
      <c r="N559" s="672"/>
      <c r="O559" s="729">
        <f>IF(N559="",0,N559*K559/'9b-Vloeronderhoud'!$F$4)</f>
        <v>0</v>
      </c>
      <c r="P559" s="672"/>
      <c r="Q559" s="729" t="e">
        <f>IF(O559="",0,P559*L559/'9b-Vloeronderhoud'!$F$6)</f>
        <v>#DIV/0!</v>
      </c>
      <c r="R559" s="449">
        <v>1</v>
      </c>
      <c r="S559" s="672">
        <v>80</v>
      </c>
      <c r="T559" s="161" t="e">
        <f t="shared" si="43"/>
        <v>#DIV/0!</v>
      </c>
      <c r="U559" s="162">
        <f>IF(S559="nio",0,IF(S559&gt;0,VLOOKUP(G559,'3-Productie normen'!A:K,VLOOKUP(S559,'3-Productie normen'!L:N,3,FALSE),FALSE)))</f>
        <v>0</v>
      </c>
      <c r="V559" s="162">
        <f>VLOOKUP(G559,'3-Productie normen'!A:K,10,FALSE)</f>
        <v>16013.110036668773</v>
      </c>
      <c r="W559" s="163">
        <f>VLOOKUP(G559,'3-Productie normen'!A:K,11,FALSE)</f>
        <v>0</v>
      </c>
      <c r="X559" s="163"/>
      <c r="Z559" s="129">
        <f t="shared" si="44"/>
        <v>4472</v>
      </c>
    </row>
    <row r="560" spans="1:26" ht="14.1" customHeight="1">
      <c r="A560" s="144">
        <v>566</v>
      </c>
      <c r="B560" s="525" t="s">
        <v>238</v>
      </c>
      <c r="C560" s="159" t="s">
        <v>603</v>
      </c>
      <c r="D560" s="132" t="s">
        <v>98</v>
      </c>
      <c r="E560" s="711" t="s">
        <v>317</v>
      </c>
      <c r="F560" s="494" t="s">
        <v>267</v>
      </c>
      <c r="G560" s="122" t="s">
        <v>18</v>
      </c>
      <c r="H560" s="303" t="s">
        <v>955</v>
      </c>
      <c r="I560" s="582" t="str">
        <f>VLOOKUP(H560,'9a-Typen vloeren'!$A$10:$B$40,2,FALSE)</f>
        <v>zie kwaliteitsontwerp</v>
      </c>
      <c r="J560" s="590">
        <v>7.4</v>
      </c>
      <c r="K560" s="433">
        <f t="shared" si="40"/>
        <v>0</v>
      </c>
      <c r="L560" s="433">
        <f t="shared" si="41"/>
        <v>0</v>
      </c>
      <c r="M560" s="433">
        <f t="shared" si="42"/>
        <v>0</v>
      </c>
      <c r="N560" s="672"/>
      <c r="O560" s="729">
        <f>IF(N560="",0,N560*K560/'9b-Vloeronderhoud'!$F$4)</f>
        <v>0</v>
      </c>
      <c r="P560" s="672"/>
      <c r="Q560" s="729" t="e">
        <f>IF(O560="",0,P560*L560/'9b-Vloeronderhoud'!$F$6)</f>
        <v>#DIV/0!</v>
      </c>
      <c r="R560" s="449">
        <v>1</v>
      </c>
      <c r="S560" s="672">
        <v>190</v>
      </c>
      <c r="T560" s="161" t="e">
        <f t="shared" si="43"/>
        <v>#DIV/0!</v>
      </c>
      <c r="U560" s="162">
        <f>IF(S560="nio",0,IF(S560&gt;0,VLOOKUP(G560,'3-Productie normen'!A:K,VLOOKUP(S560,'3-Productie normen'!L:N,3,FALSE),FALSE)))</f>
        <v>0</v>
      </c>
      <c r="V560" s="162">
        <f>VLOOKUP(G560,'3-Productie normen'!A:K,10,FALSE)</f>
        <v>1859.5880019121171</v>
      </c>
      <c r="W560" s="163">
        <f>VLOOKUP(G560,'3-Productie normen'!A:K,11,FALSE)</f>
        <v>0</v>
      </c>
      <c r="X560" s="163"/>
      <c r="Z560" s="129">
        <f t="shared" si="44"/>
        <v>1406</v>
      </c>
    </row>
    <row r="561" spans="1:26" ht="14.1" customHeight="1">
      <c r="A561" s="144">
        <v>567</v>
      </c>
      <c r="B561" s="525" t="s">
        <v>238</v>
      </c>
      <c r="C561" s="159" t="s">
        <v>603</v>
      </c>
      <c r="D561" s="132" t="s">
        <v>98</v>
      </c>
      <c r="E561" s="711" t="s">
        <v>318</v>
      </c>
      <c r="F561" s="494" t="s">
        <v>470</v>
      </c>
      <c r="G561" s="303" t="s">
        <v>221</v>
      </c>
      <c r="H561" s="303" t="s">
        <v>332</v>
      </c>
      <c r="I561" s="582" t="str">
        <f>VLOOKUP(H561,'9a-Typen vloeren'!$A$10:$B$40,2,FALSE)</f>
        <v>Sproei/extraheren</v>
      </c>
      <c r="J561" s="590">
        <v>55.9</v>
      </c>
      <c r="K561" s="433">
        <f t="shared" si="40"/>
        <v>0</v>
      </c>
      <c r="L561" s="433">
        <f t="shared" si="41"/>
        <v>0</v>
      </c>
      <c r="M561" s="433">
        <f t="shared" si="42"/>
        <v>55.9</v>
      </c>
      <c r="N561" s="672"/>
      <c r="O561" s="729">
        <f>IF(N561="",0,N561*K561/'9b-Vloeronderhoud'!$F$4)</f>
        <v>0</v>
      </c>
      <c r="P561" s="672"/>
      <c r="Q561" s="729" t="e">
        <f>IF(O561="",0,P561*L561/'9b-Vloeronderhoud'!$F$6)</f>
        <v>#DIV/0!</v>
      </c>
      <c r="R561" s="449">
        <v>1</v>
      </c>
      <c r="S561" s="688" t="s">
        <v>179</v>
      </c>
      <c r="T561" s="161">
        <f t="shared" si="43"/>
        <v>0</v>
      </c>
      <c r="U561" s="162">
        <f>IF(S561="nio",0,IF(S561&gt;0,VLOOKUP(G561,'3-Productie normen'!A:K,VLOOKUP(S561,'3-Productie normen'!L:N,3,FALSE),FALSE)))</f>
        <v>0</v>
      </c>
      <c r="V561" s="162">
        <f>VLOOKUP(G561,'3-Productie normen'!A:K,10,FALSE)</f>
        <v>16013.110036668773</v>
      </c>
      <c r="W561" s="163">
        <f>VLOOKUP(G561,'3-Productie normen'!A:K,11,FALSE)</f>
        <v>0</v>
      </c>
      <c r="X561" s="163"/>
      <c r="Z561" s="129">
        <f t="shared" si="44"/>
        <v>0</v>
      </c>
    </row>
    <row r="562" spans="1:26" ht="14.1" customHeight="1">
      <c r="A562" s="144">
        <v>568</v>
      </c>
      <c r="B562" s="525" t="s">
        <v>238</v>
      </c>
      <c r="C562" s="159" t="s">
        <v>603</v>
      </c>
      <c r="D562" s="132" t="s">
        <v>98</v>
      </c>
      <c r="E562" s="711" t="s">
        <v>319</v>
      </c>
      <c r="F562" s="494" t="s">
        <v>382</v>
      </c>
      <c r="G562" s="460" t="s">
        <v>881</v>
      </c>
      <c r="H562" s="170" t="s">
        <v>333</v>
      </c>
      <c r="I562" s="582" t="str">
        <f>VLOOKUP(H562,'9a-Typen vloeren'!$A$10:$B$40,2,FALSE)</f>
        <v>Schrobben</v>
      </c>
      <c r="J562" s="590">
        <v>7.4</v>
      </c>
      <c r="K562" s="433">
        <f t="shared" si="40"/>
        <v>0</v>
      </c>
      <c r="L562" s="433">
        <f t="shared" si="41"/>
        <v>0</v>
      </c>
      <c r="M562" s="433">
        <f t="shared" si="42"/>
        <v>0</v>
      </c>
      <c r="N562" s="672"/>
      <c r="O562" s="729">
        <f>IF(N562="",0,N562*K562/'9b-Vloeronderhoud'!$F$4)</f>
        <v>0</v>
      </c>
      <c r="P562" s="672"/>
      <c r="Q562" s="729" t="e">
        <f>IF(O562="",0,P562*L562/'9b-Vloeronderhoud'!$F$6)</f>
        <v>#DIV/0!</v>
      </c>
      <c r="R562" s="449">
        <v>1</v>
      </c>
      <c r="S562" s="672" t="s">
        <v>179</v>
      </c>
      <c r="T562" s="161">
        <f t="shared" si="43"/>
        <v>0</v>
      </c>
      <c r="U562" s="162">
        <f>IF(S562="nio",0,IF(S562&gt;0,VLOOKUP(G562,'3-Productie normen'!A:K,VLOOKUP(S562,'3-Productie normen'!L:N,3,FALSE),FALSE)))</f>
        <v>0</v>
      </c>
      <c r="V562" s="162">
        <f>VLOOKUP(G562,'3-Productie normen'!A:K,10,FALSE)</f>
        <v>5262.809993648526</v>
      </c>
      <c r="W562" s="163">
        <f>VLOOKUP(G562,'3-Productie normen'!A:K,11,FALSE)</f>
        <v>0</v>
      </c>
      <c r="X562" s="163"/>
      <c r="Z562" s="129">
        <f t="shared" si="44"/>
        <v>0</v>
      </c>
    </row>
    <row r="563" spans="1:26" ht="14.1" customHeight="1">
      <c r="A563" s="144">
        <v>569</v>
      </c>
      <c r="B563" s="525" t="s">
        <v>238</v>
      </c>
      <c r="C563" s="159" t="s">
        <v>603</v>
      </c>
      <c r="D563" s="132" t="s">
        <v>98</v>
      </c>
      <c r="E563" s="711" t="s">
        <v>320</v>
      </c>
      <c r="F563" s="494" t="s">
        <v>470</v>
      </c>
      <c r="G563" s="460" t="s">
        <v>221</v>
      </c>
      <c r="H563" s="303" t="s">
        <v>332</v>
      </c>
      <c r="I563" s="582" t="str">
        <f>VLOOKUP(H563,'9a-Typen vloeren'!$A$10:$B$40,2,FALSE)</f>
        <v>Sproei/extraheren</v>
      </c>
      <c r="J563" s="590">
        <v>55.9</v>
      </c>
      <c r="K563" s="433">
        <f t="shared" si="40"/>
        <v>0</v>
      </c>
      <c r="L563" s="433">
        <f t="shared" si="41"/>
        <v>0</v>
      </c>
      <c r="M563" s="433">
        <f t="shared" si="42"/>
        <v>55.9</v>
      </c>
      <c r="N563" s="672"/>
      <c r="O563" s="729">
        <f>IF(N563="",0,N563*K563/'9b-Vloeronderhoud'!$F$4)</f>
        <v>0</v>
      </c>
      <c r="P563" s="672"/>
      <c r="Q563" s="729" t="e">
        <f>IF(O563="",0,P563*L563/'9b-Vloeronderhoud'!$F$6)</f>
        <v>#DIV/0!</v>
      </c>
      <c r="R563" s="449">
        <v>1</v>
      </c>
      <c r="S563" s="688" t="s">
        <v>179</v>
      </c>
      <c r="T563" s="161">
        <f t="shared" si="43"/>
        <v>0</v>
      </c>
      <c r="U563" s="162">
        <f>IF(S563="nio",0,IF(S563&gt;0,VLOOKUP(G563,'3-Productie normen'!A:K,VLOOKUP(S563,'3-Productie normen'!L:N,3,FALSE),FALSE)))</f>
        <v>0</v>
      </c>
      <c r="V563" s="162">
        <f>VLOOKUP(G563,'3-Productie normen'!A:K,10,FALSE)</f>
        <v>16013.110036668773</v>
      </c>
      <c r="W563" s="163">
        <f>VLOOKUP(G563,'3-Productie normen'!A:K,11,FALSE)</f>
        <v>0</v>
      </c>
      <c r="X563" s="163"/>
      <c r="Z563" s="129">
        <f t="shared" si="44"/>
        <v>0</v>
      </c>
    </row>
    <row r="564" spans="1:26" ht="14.1" customHeight="1">
      <c r="A564" s="144">
        <v>570</v>
      </c>
      <c r="B564" s="525" t="s">
        <v>238</v>
      </c>
      <c r="C564" s="159" t="s">
        <v>603</v>
      </c>
      <c r="D564" s="132" t="s">
        <v>98</v>
      </c>
      <c r="E564" s="711" t="s">
        <v>321</v>
      </c>
      <c r="F564" s="160" t="s">
        <v>267</v>
      </c>
      <c r="G564" s="460" t="s">
        <v>18</v>
      </c>
      <c r="H564" s="303" t="s">
        <v>955</v>
      </c>
      <c r="I564" s="582" t="str">
        <f>VLOOKUP(H564,'9a-Typen vloeren'!$A$10:$B$40,2,FALSE)</f>
        <v>zie kwaliteitsontwerp</v>
      </c>
      <c r="J564" s="590">
        <v>7.4</v>
      </c>
      <c r="K564" s="433">
        <f t="shared" si="40"/>
        <v>0</v>
      </c>
      <c r="L564" s="433">
        <f t="shared" si="41"/>
        <v>0</v>
      </c>
      <c r="M564" s="433">
        <f t="shared" si="42"/>
        <v>0</v>
      </c>
      <c r="N564" s="672"/>
      <c r="O564" s="729">
        <f>IF(N564="",0,N564*K564/'9b-Vloeronderhoud'!$F$4)</f>
        <v>0</v>
      </c>
      <c r="P564" s="672"/>
      <c r="Q564" s="729" t="e">
        <f>IF(O564="",0,P564*L564/'9b-Vloeronderhoud'!$F$6)</f>
        <v>#DIV/0!</v>
      </c>
      <c r="R564" s="449">
        <v>1</v>
      </c>
      <c r="S564" s="672">
        <v>190</v>
      </c>
      <c r="T564" s="161" t="e">
        <f t="shared" si="43"/>
        <v>#DIV/0!</v>
      </c>
      <c r="U564" s="162">
        <f>IF(S564="nio",0,IF(S564&gt;0,VLOOKUP(G564,'3-Productie normen'!A:K,VLOOKUP(S564,'3-Productie normen'!L:N,3,FALSE),FALSE)))</f>
        <v>0</v>
      </c>
      <c r="V564" s="162">
        <f>VLOOKUP(G564,'3-Productie normen'!A:K,10,FALSE)</f>
        <v>1859.5880019121171</v>
      </c>
      <c r="W564" s="163">
        <f>VLOOKUP(G564,'3-Productie normen'!A:K,11,FALSE)</f>
        <v>0</v>
      </c>
      <c r="X564" s="163"/>
      <c r="Z564" s="129">
        <f t="shared" si="44"/>
        <v>1406</v>
      </c>
    </row>
    <row r="565" spans="1:26" ht="14.1" customHeight="1">
      <c r="A565" s="144">
        <v>571</v>
      </c>
      <c r="B565" s="525" t="s">
        <v>238</v>
      </c>
      <c r="C565" s="159" t="s">
        <v>603</v>
      </c>
      <c r="D565" s="132" t="s">
        <v>98</v>
      </c>
      <c r="E565" s="711" t="s">
        <v>323</v>
      </c>
      <c r="F565" s="494" t="s">
        <v>470</v>
      </c>
      <c r="G565" s="533" t="s">
        <v>221</v>
      </c>
      <c r="H565" s="303" t="s">
        <v>332</v>
      </c>
      <c r="I565" s="582" t="str">
        <f>VLOOKUP(H565,'9a-Typen vloeren'!$A$10:$B$40,2,FALSE)</f>
        <v>Sproei/extraheren</v>
      </c>
      <c r="J565" s="590">
        <v>55.9</v>
      </c>
      <c r="K565" s="433">
        <f t="shared" si="40"/>
        <v>0</v>
      </c>
      <c r="L565" s="433">
        <f t="shared" si="41"/>
        <v>0</v>
      </c>
      <c r="M565" s="433">
        <f t="shared" si="42"/>
        <v>55.9</v>
      </c>
      <c r="N565" s="672"/>
      <c r="O565" s="729">
        <f>IF(N565="",0,N565*K565/'9b-Vloeronderhoud'!$F$4)</f>
        <v>0</v>
      </c>
      <c r="P565" s="672"/>
      <c r="Q565" s="729" t="e">
        <f>IF(O565="",0,P565*L565/'9b-Vloeronderhoud'!$F$6)</f>
        <v>#DIV/0!</v>
      </c>
      <c r="R565" s="449">
        <v>1</v>
      </c>
      <c r="S565" s="688" t="s">
        <v>179</v>
      </c>
      <c r="T565" s="161">
        <f t="shared" si="43"/>
        <v>0</v>
      </c>
      <c r="U565" s="162">
        <f>IF(S565="nio",0,IF(S565&gt;0,VLOOKUP(G565,'3-Productie normen'!A:K,VLOOKUP(S565,'3-Productie normen'!L:N,3,FALSE),FALSE)))</f>
        <v>0</v>
      </c>
      <c r="V565" s="162">
        <f>VLOOKUP(G565,'3-Productie normen'!A:K,10,FALSE)</f>
        <v>16013.110036668773</v>
      </c>
      <c r="W565" s="163">
        <f>VLOOKUP(G565,'3-Productie normen'!A:K,11,FALSE)</f>
        <v>0</v>
      </c>
      <c r="X565" s="163"/>
      <c r="Z565" s="129">
        <f t="shared" si="44"/>
        <v>0</v>
      </c>
    </row>
    <row r="566" spans="1:26" ht="14.1" customHeight="1">
      <c r="A566" s="144">
        <v>572</v>
      </c>
      <c r="B566" s="525" t="s">
        <v>238</v>
      </c>
      <c r="C566" s="159" t="s">
        <v>603</v>
      </c>
      <c r="D566" s="132" t="s">
        <v>98</v>
      </c>
      <c r="E566" s="711" t="s">
        <v>325</v>
      </c>
      <c r="F566" s="494" t="s">
        <v>382</v>
      </c>
      <c r="G566" s="460" t="s">
        <v>881</v>
      </c>
      <c r="H566" s="170" t="s">
        <v>333</v>
      </c>
      <c r="I566" s="582" t="str">
        <f>VLOOKUP(H566,'9a-Typen vloeren'!$A$10:$B$40,2,FALSE)</f>
        <v>Schrobben</v>
      </c>
      <c r="J566" s="590">
        <v>7.4</v>
      </c>
      <c r="K566" s="433">
        <f t="shared" si="40"/>
        <v>0</v>
      </c>
      <c r="L566" s="433">
        <f t="shared" si="41"/>
        <v>0</v>
      </c>
      <c r="M566" s="433">
        <f t="shared" si="42"/>
        <v>0</v>
      </c>
      <c r="N566" s="672"/>
      <c r="O566" s="729">
        <f>IF(N566="",0,N566*K566/'9b-Vloeronderhoud'!$F$4)</f>
        <v>0</v>
      </c>
      <c r="P566" s="672"/>
      <c r="Q566" s="729" t="e">
        <f>IF(O566="",0,P566*L566/'9b-Vloeronderhoud'!$F$6)</f>
        <v>#DIV/0!</v>
      </c>
      <c r="R566" s="449">
        <v>1</v>
      </c>
      <c r="S566" s="672" t="s">
        <v>179</v>
      </c>
      <c r="T566" s="161">
        <f t="shared" si="43"/>
        <v>0</v>
      </c>
      <c r="U566" s="162">
        <f>IF(S566="nio",0,IF(S566&gt;0,VLOOKUP(G566,'3-Productie normen'!A:K,VLOOKUP(S566,'3-Productie normen'!L:N,3,FALSE),FALSE)))</f>
        <v>0</v>
      </c>
      <c r="V566" s="162">
        <f>VLOOKUP(G566,'3-Productie normen'!A:K,10,FALSE)</f>
        <v>5262.809993648526</v>
      </c>
      <c r="W566" s="163">
        <f>VLOOKUP(G566,'3-Productie normen'!A:K,11,FALSE)</f>
        <v>0</v>
      </c>
      <c r="X566" s="163"/>
      <c r="Z566" s="129">
        <f t="shared" si="44"/>
        <v>0</v>
      </c>
    </row>
    <row r="567" spans="1:26" ht="14.1" customHeight="1">
      <c r="A567" s="144">
        <v>573</v>
      </c>
      <c r="B567" s="525" t="s">
        <v>238</v>
      </c>
      <c r="C567" s="159" t="s">
        <v>603</v>
      </c>
      <c r="D567" s="132" t="s">
        <v>98</v>
      </c>
      <c r="E567" s="711" t="s">
        <v>326</v>
      </c>
      <c r="F567" s="494" t="s">
        <v>470</v>
      </c>
      <c r="G567" s="4" t="s">
        <v>221</v>
      </c>
      <c r="H567" s="303" t="s">
        <v>332</v>
      </c>
      <c r="I567" s="582" t="str">
        <f>VLOOKUP(H567,'9a-Typen vloeren'!$A$10:$B$40,2,FALSE)</f>
        <v>Sproei/extraheren</v>
      </c>
      <c r="J567" s="590">
        <v>55.9</v>
      </c>
      <c r="K567" s="433">
        <f t="shared" si="40"/>
        <v>0</v>
      </c>
      <c r="L567" s="433">
        <f t="shared" si="41"/>
        <v>0</v>
      </c>
      <c r="M567" s="433">
        <f t="shared" si="42"/>
        <v>55.9</v>
      </c>
      <c r="N567" s="672"/>
      <c r="O567" s="729">
        <f>IF(N567="",0,N567*K567/'9b-Vloeronderhoud'!$F$4)</f>
        <v>0</v>
      </c>
      <c r="P567" s="672"/>
      <c r="Q567" s="729" t="e">
        <f>IF(O567="",0,P567*L567/'9b-Vloeronderhoud'!$F$6)</f>
        <v>#DIV/0!</v>
      </c>
      <c r="R567" s="449">
        <v>1</v>
      </c>
      <c r="S567" s="672">
        <v>80</v>
      </c>
      <c r="T567" s="161" t="e">
        <f t="shared" si="43"/>
        <v>#DIV/0!</v>
      </c>
      <c r="U567" s="162">
        <f>IF(S567="nio",0,IF(S567&gt;0,VLOOKUP(G567,'3-Productie normen'!A:K,VLOOKUP(S567,'3-Productie normen'!L:N,3,FALSE),FALSE)))</f>
        <v>0</v>
      </c>
      <c r="V567" s="162">
        <f>VLOOKUP(G567,'3-Productie normen'!A:K,10,FALSE)</f>
        <v>16013.110036668773</v>
      </c>
      <c r="W567" s="163">
        <f>VLOOKUP(G567,'3-Productie normen'!A:K,11,FALSE)</f>
        <v>0</v>
      </c>
      <c r="X567" s="163"/>
      <c r="Z567" s="129">
        <f t="shared" si="44"/>
        <v>4472</v>
      </c>
    </row>
    <row r="568" spans="1:26" ht="14.1" customHeight="1">
      <c r="A568" s="144">
        <v>574</v>
      </c>
      <c r="B568" s="525" t="s">
        <v>238</v>
      </c>
      <c r="C568" s="159" t="s">
        <v>603</v>
      </c>
      <c r="D568" s="132" t="s">
        <v>98</v>
      </c>
      <c r="E568" s="711" t="s">
        <v>328</v>
      </c>
      <c r="F568" s="494" t="s">
        <v>267</v>
      </c>
      <c r="G568" s="303" t="s">
        <v>18</v>
      </c>
      <c r="H568" s="303" t="s">
        <v>955</v>
      </c>
      <c r="I568" s="582" t="str">
        <f>VLOOKUP(H568,'9a-Typen vloeren'!$A$10:$B$40,2,FALSE)</f>
        <v>zie kwaliteitsontwerp</v>
      </c>
      <c r="J568" s="590">
        <v>7.4</v>
      </c>
      <c r="K568" s="433">
        <f t="shared" si="40"/>
        <v>0</v>
      </c>
      <c r="L568" s="433">
        <f t="shared" si="41"/>
        <v>0</v>
      </c>
      <c r="M568" s="433">
        <f t="shared" si="42"/>
        <v>0</v>
      </c>
      <c r="N568" s="672"/>
      <c r="O568" s="729">
        <f>IF(N568="",0,N568*K568/'9b-Vloeronderhoud'!$F$4)</f>
        <v>0</v>
      </c>
      <c r="P568" s="672"/>
      <c r="Q568" s="729" t="e">
        <f>IF(O568="",0,P568*L568/'9b-Vloeronderhoud'!$F$6)</f>
        <v>#DIV/0!</v>
      </c>
      <c r="R568" s="449">
        <v>1</v>
      </c>
      <c r="S568" s="672">
        <v>190</v>
      </c>
      <c r="T568" s="161" t="e">
        <f t="shared" si="43"/>
        <v>#DIV/0!</v>
      </c>
      <c r="U568" s="162">
        <f>IF(S568="nio",0,IF(S568&gt;0,VLOOKUP(G568,'3-Productie normen'!A:K,VLOOKUP(S568,'3-Productie normen'!L:N,3,FALSE),FALSE)))</f>
        <v>0</v>
      </c>
      <c r="V568" s="162">
        <f>VLOOKUP(G568,'3-Productie normen'!A:K,10,FALSE)</f>
        <v>1859.5880019121171</v>
      </c>
      <c r="W568" s="163">
        <f>VLOOKUP(G568,'3-Productie normen'!A:K,11,FALSE)</f>
        <v>0</v>
      </c>
      <c r="X568" s="163"/>
      <c r="Z568" s="129">
        <f t="shared" si="44"/>
        <v>1406</v>
      </c>
    </row>
    <row r="569" spans="1:26" ht="14.1" customHeight="1">
      <c r="A569" s="144">
        <v>575</v>
      </c>
      <c r="B569" s="525" t="s">
        <v>238</v>
      </c>
      <c r="C569" s="159" t="s">
        <v>603</v>
      </c>
      <c r="D569" s="132" t="s">
        <v>98</v>
      </c>
      <c r="E569" s="711" t="s">
        <v>329</v>
      </c>
      <c r="F569" s="494" t="s">
        <v>470</v>
      </c>
      <c r="G569" s="122" t="s">
        <v>221</v>
      </c>
      <c r="H569" s="303" t="s">
        <v>332</v>
      </c>
      <c r="I569" s="582" t="str">
        <f>VLOOKUP(H569,'9a-Typen vloeren'!$A$10:$B$40,2,FALSE)</f>
        <v>Sproei/extraheren</v>
      </c>
      <c r="J569" s="590">
        <v>55.9</v>
      </c>
      <c r="K569" s="433">
        <f t="shared" si="40"/>
        <v>0</v>
      </c>
      <c r="L569" s="433">
        <f t="shared" si="41"/>
        <v>0</v>
      </c>
      <c r="M569" s="433">
        <f t="shared" si="42"/>
        <v>55.9</v>
      </c>
      <c r="N569" s="672"/>
      <c r="O569" s="729">
        <f>IF(N569="",0,N569*K569/'9b-Vloeronderhoud'!$F$4)</f>
        <v>0</v>
      </c>
      <c r="P569" s="672"/>
      <c r="Q569" s="729" t="e">
        <f>IF(O569="",0,P569*L569/'9b-Vloeronderhoud'!$F$6)</f>
        <v>#DIV/0!</v>
      </c>
      <c r="R569" s="449">
        <v>1</v>
      </c>
      <c r="S569" s="672">
        <v>80</v>
      </c>
      <c r="T569" s="161" t="e">
        <f t="shared" si="43"/>
        <v>#DIV/0!</v>
      </c>
      <c r="U569" s="162">
        <f>IF(S569="nio",0,IF(S569&gt;0,VLOOKUP(G569,'3-Productie normen'!A:K,VLOOKUP(S569,'3-Productie normen'!L:N,3,FALSE),FALSE)))</f>
        <v>0</v>
      </c>
      <c r="V569" s="162">
        <f>VLOOKUP(G569,'3-Productie normen'!A:K,10,FALSE)</f>
        <v>16013.110036668773</v>
      </c>
      <c r="W569" s="163">
        <f>VLOOKUP(G569,'3-Productie normen'!A:K,11,FALSE)</f>
        <v>0</v>
      </c>
      <c r="X569" s="163"/>
      <c r="Z569" s="129">
        <f t="shared" si="44"/>
        <v>4472</v>
      </c>
    </row>
    <row r="570" spans="1:26" ht="14.1" customHeight="1">
      <c r="A570" s="144">
        <v>576</v>
      </c>
      <c r="B570" s="525" t="s">
        <v>238</v>
      </c>
      <c r="C570" s="159" t="s">
        <v>603</v>
      </c>
      <c r="D570" s="132" t="s">
        <v>98</v>
      </c>
      <c r="E570" s="711" t="s">
        <v>330</v>
      </c>
      <c r="F570" s="494" t="s">
        <v>382</v>
      </c>
      <c r="G570" s="460" t="s">
        <v>881</v>
      </c>
      <c r="H570" s="170" t="s">
        <v>333</v>
      </c>
      <c r="I570" s="582" t="str">
        <f>VLOOKUP(H570,'9a-Typen vloeren'!$A$10:$B$40,2,FALSE)</f>
        <v>Schrobben</v>
      </c>
      <c r="J570" s="590">
        <v>7.4</v>
      </c>
      <c r="K570" s="433">
        <f t="shared" si="40"/>
        <v>0</v>
      </c>
      <c r="L570" s="433">
        <f t="shared" si="41"/>
        <v>0</v>
      </c>
      <c r="M570" s="433">
        <f t="shared" si="42"/>
        <v>0</v>
      </c>
      <c r="N570" s="672"/>
      <c r="O570" s="729">
        <f>IF(N570="",0,N570*K570/'9b-Vloeronderhoud'!$F$4)</f>
        <v>0</v>
      </c>
      <c r="P570" s="672"/>
      <c r="Q570" s="729" t="e">
        <f>IF(O570="",0,P570*L570/'9b-Vloeronderhoud'!$F$6)</f>
        <v>#DIV/0!</v>
      </c>
      <c r="R570" s="449">
        <v>1</v>
      </c>
      <c r="S570" s="672" t="s">
        <v>179</v>
      </c>
      <c r="T570" s="161">
        <f t="shared" si="43"/>
        <v>0</v>
      </c>
      <c r="U570" s="162">
        <f>IF(S570="nio",0,IF(S570&gt;0,VLOOKUP(G570,'3-Productie normen'!A:K,VLOOKUP(S570,'3-Productie normen'!L:N,3,FALSE),FALSE)))</f>
        <v>0</v>
      </c>
      <c r="V570" s="162">
        <f>VLOOKUP(G570,'3-Productie normen'!A:K,10,FALSE)</f>
        <v>5262.809993648526</v>
      </c>
      <c r="W570" s="163">
        <f>VLOOKUP(G570,'3-Productie normen'!A:K,11,FALSE)</f>
        <v>0</v>
      </c>
      <c r="X570" s="163"/>
      <c r="Z570" s="129">
        <f t="shared" si="44"/>
        <v>0</v>
      </c>
    </row>
    <row r="571" spans="1:26" ht="14.1" customHeight="1">
      <c r="A571" s="144">
        <v>577</v>
      </c>
      <c r="B571" s="525" t="s">
        <v>238</v>
      </c>
      <c r="C571" s="159" t="s">
        <v>603</v>
      </c>
      <c r="D571" s="132" t="s">
        <v>98</v>
      </c>
      <c r="E571" s="711" t="s">
        <v>331</v>
      </c>
      <c r="F571" s="494" t="s">
        <v>470</v>
      </c>
      <c r="G571" s="303" t="s">
        <v>221</v>
      </c>
      <c r="H571" s="303" t="s">
        <v>332</v>
      </c>
      <c r="I571" s="582" t="str">
        <f>VLOOKUP(H571,'9a-Typen vloeren'!$A$10:$B$40,2,FALSE)</f>
        <v>Sproei/extraheren</v>
      </c>
      <c r="J571" s="590">
        <v>55.9</v>
      </c>
      <c r="K571" s="433">
        <f t="shared" si="40"/>
        <v>0</v>
      </c>
      <c r="L571" s="433">
        <f t="shared" si="41"/>
        <v>0</v>
      </c>
      <c r="M571" s="433">
        <f t="shared" si="42"/>
        <v>55.9</v>
      </c>
      <c r="N571" s="672"/>
      <c r="O571" s="729">
        <f>IF(N571="",0,N571*K571/'9b-Vloeronderhoud'!$F$4)</f>
        <v>0</v>
      </c>
      <c r="P571" s="672"/>
      <c r="Q571" s="729" t="e">
        <f>IF(O571="",0,P571*L571/'9b-Vloeronderhoud'!$F$6)</f>
        <v>#DIV/0!</v>
      </c>
      <c r="R571" s="449">
        <v>1</v>
      </c>
      <c r="S571" s="672">
        <v>80</v>
      </c>
      <c r="T571" s="161" t="e">
        <f t="shared" si="43"/>
        <v>#DIV/0!</v>
      </c>
      <c r="U571" s="162">
        <f>IF(S571="nio",0,IF(S571&gt;0,VLOOKUP(G571,'3-Productie normen'!A:K,VLOOKUP(S571,'3-Productie normen'!L:N,3,FALSE),FALSE)))</f>
        <v>0</v>
      </c>
      <c r="V571" s="162">
        <f>VLOOKUP(G571,'3-Productie normen'!A:K,10,FALSE)</f>
        <v>16013.110036668773</v>
      </c>
      <c r="W571" s="163">
        <f>VLOOKUP(G571,'3-Productie normen'!A:K,11,FALSE)</f>
        <v>0</v>
      </c>
      <c r="X571" s="163"/>
      <c r="Z571" s="129">
        <f t="shared" si="44"/>
        <v>4472</v>
      </c>
    </row>
    <row r="572" spans="1:26" ht="14.1" customHeight="1">
      <c r="A572" s="144">
        <v>578</v>
      </c>
      <c r="B572" s="525" t="s">
        <v>238</v>
      </c>
      <c r="C572" s="159" t="s">
        <v>603</v>
      </c>
      <c r="D572" s="132" t="s">
        <v>98</v>
      </c>
      <c r="E572" s="711" t="s">
        <v>406</v>
      </c>
      <c r="F572" s="494" t="s">
        <v>267</v>
      </c>
      <c r="G572" s="533" t="s">
        <v>18</v>
      </c>
      <c r="H572" s="303" t="s">
        <v>955</v>
      </c>
      <c r="I572" s="582" t="str">
        <f>VLOOKUP(H572,'9a-Typen vloeren'!$A$10:$B$40,2,FALSE)</f>
        <v>zie kwaliteitsontwerp</v>
      </c>
      <c r="J572" s="590">
        <v>7.4</v>
      </c>
      <c r="K572" s="433">
        <f t="shared" si="40"/>
        <v>0</v>
      </c>
      <c r="L572" s="433">
        <f t="shared" si="41"/>
        <v>0</v>
      </c>
      <c r="M572" s="433">
        <f t="shared" si="42"/>
        <v>0</v>
      </c>
      <c r="N572" s="672"/>
      <c r="O572" s="729">
        <f>IF(N572="",0,N572*K572/'9b-Vloeronderhoud'!$F$4)</f>
        <v>0</v>
      </c>
      <c r="P572" s="672"/>
      <c r="Q572" s="729" t="e">
        <f>IF(O572="",0,P572*L572/'9b-Vloeronderhoud'!$F$6)</f>
        <v>#DIV/0!</v>
      </c>
      <c r="R572" s="449">
        <v>1</v>
      </c>
      <c r="S572" s="672">
        <v>190</v>
      </c>
      <c r="T572" s="161" t="e">
        <f t="shared" si="43"/>
        <v>#DIV/0!</v>
      </c>
      <c r="U572" s="162">
        <f>IF(S572="nio",0,IF(S572&gt;0,VLOOKUP(G572,'3-Productie normen'!A:K,VLOOKUP(S572,'3-Productie normen'!L:N,3,FALSE),FALSE)))</f>
        <v>0</v>
      </c>
      <c r="V572" s="162">
        <f>VLOOKUP(G572,'3-Productie normen'!A:K,10,FALSE)</f>
        <v>1859.5880019121171</v>
      </c>
      <c r="W572" s="163">
        <f>VLOOKUP(G572,'3-Productie normen'!A:K,11,FALSE)</f>
        <v>0</v>
      </c>
      <c r="X572" s="163"/>
      <c r="Z572" s="129">
        <f t="shared" si="44"/>
        <v>1406</v>
      </c>
    </row>
    <row r="573" spans="1:26" ht="14.1" customHeight="1">
      <c r="A573" s="144">
        <v>579</v>
      </c>
      <c r="B573" s="525" t="s">
        <v>238</v>
      </c>
      <c r="C573" s="159" t="s">
        <v>603</v>
      </c>
      <c r="D573" s="132" t="s">
        <v>98</v>
      </c>
      <c r="E573" s="711" t="s">
        <v>407</v>
      </c>
      <c r="F573" s="494" t="s">
        <v>490</v>
      </c>
      <c r="G573" s="122" t="s">
        <v>286</v>
      </c>
      <c r="H573" s="170" t="s">
        <v>333</v>
      </c>
      <c r="I573" s="582" t="str">
        <f>VLOOKUP(H573,'9a-Typen vloeren'!$A$10:$B$40,2,FALSE)</f>
        <v>Schrobben</v>
      </c>
      <c r="J573" s="590">
        <v>13.4</v>
      </c>
      <c r="K573" s="433">
        <f t="shared" si="40"/>
        <v>0</v>
      </c>
      <c r="L573" s="433">
        <f t="shared" si="41"/>
        <v>13.4</v>
      </c>
      <c r="M573" s="433">
        <f t="shared" si="42"/>
        <v>0</v>
      </c>
      <c r="N573" s="672"/>
      <c r="O573" s="729">
        <f>IF(N573="",0,N573*K573/'9b-Vloeronderhoud'!$F$4)</f>
        <v>0</v>
      </c>
      <c r="P573" s="672">
        <v>3</v>
      </c>
      <c r="Q573" s="729" t="e">
        <f>IF(O573="",0,P573*L573/'9b-Vloeronderhoud'!$F$6)</f>
        <v>#DIV/0!</v>
      </c>
      <c r="R573" s="449">
        <v>1</v>
      </c>
      <c r="S573" s="672">
        <v>80</v>
      </c>
      <c r="T573" s="161" t="e">
        <f t="shared" si="43"/>
        <v>#DIV/0!</v>
      </c>
      <c r="U573" s="162">
        <f>IF(S573="nio",0,IF(S573&gt;0,VLOOKUP(G573,'3-Productie normen'!A:K,VLOOKUP(S573,'3-Productie normen'!L:N,3,FALSE),FALSE)))</f>
        <v>0</v>
      </c>
      <c r="V573" s="162">
        <f>VLOOKUP(G573,'3-Productie normen'!A:K,10,FALSE)</f>
        <v>6152.9500017547598</v>
      </c>
      <c r="W573" s="163">
        <f>VLOOKUP(G573,'3-Productie normen'!A:K,11,FALSE)</f>
        <v>0</v>
      </c>
      <c r="X573" s="163"/>
      <c r="Z573" s="129">
        <f t="shared" si="44"/>
        <v>1072</v>
      </c>
    </row>
    <row r="574" spans="1:26" ht="14.1" customHeight="1">
      <c r="A574" s="144">
        <v>580</v>
      </c>
      <c r="B574" s="525" t="s">
        <v>238</v>
      </c>
      <c r="C574" s="159" t="s">
        <v>603</v>
      </c>
      <c r="D574" s="132" t="s">
        <v>98</v>
      </c>
      <c r="E574" s="711" t="s">
        <v>408</v>
      </c>
      <c r="F574" s="494" t="s">
        <v>766</v>
      </c>
      <c r="G574" s="546" t="s">
        <v>862</v>
      </c>
      <c r="H574" s="170" t="s">
        <v>333</v>
      </c>
      <c r="I574" s="582" t="str">
        <f>VLOOKUP(H574,'9a-Typen vloeren'!$A$10:$B$40,2,FALSE)</f>
        <v>Schrobben</v>
      </c>
      <c r="J574" s="590">
        <v>116.3</v>
      </c>
      <c r="K574" s="433">
        <f t="shared" si="40"/>
        <v>0</v>
      </c>
      <c r="L574" s="433">
        <f t="shared" si="41"/>
        <v>116.3</v>
      </c>
      <c r="M574" s="433">
        <f t="shared" si="42"/>
        <v>0</v>
      </c>
      <c r="N574" s="672"/>
      <c r="O574" s="729">
        <f>IF(N574="",0,N574*K574/'9b-Vloeronderhoud'!$F$4)</f>
        <v>0</v>
      </c>
      <c r="P574" s="672">
        <v>3</v>
      </c>
      <c r="Q574" s="729" t="e">
        <f>IF(O574="",0,P574*L574/'9b-Vloeronderhoud'!$F$6)</f>
        <v>#DIV/0!</v>
      </c>
      <c r="R574" s="449">
        <v>1</v>
      </c>
      <c r="S574" s="672">
        <v>120</v>
      </c>
      <c r="T574" s="161" t="e">
        <f t="shared" si="43"/>
        <v>#DIV/0!</v>
      </c>
      <c r="U574" s="162">
        <f>IF(S574="nio",0,IF(S574&gt;0,VLOOKUP(G574,'3-Productie normen'!A:K,VLOOKUP(S574,'3-Productie normen'!L:N,3,FALSE),FALSE)))</f>
        <v>0</v>
      </c>
      <c r="V574" s="162">
        <f>VLOOKUP(G574,'3-Productie normen'!A:K,10,FALSE)</f>
        <v>4374.9900215911857</v>
      </c>
      <c r="W574" s="163">
        <f>VLOOKUP(G574,'3-Productie normen'!A:K,11,FALSE)</f>
        <v>0</v>
      </c>
      <c r="X574" s="163"/>
      <c r="Z574" s="129">
        <f t="shared" si="44"/>
        <v>13956</v>
      </c>
    </row>
    <row r="575" spans="1:26" ht="14.1" customHeight="1">
      <c r="A575" s="144">
        <v>581</v>
      </c>
      <c r="B575" s="525" t="s">
        <v>238</v>
      </c>
      <c r="C575" s="159" t="s">
        <v>603</v>
      </c>
      <c r="D575" s="132" t="s">
        <v>98</v>
      </c>
      <c r="E575" s="711" t="s">
        <v>414</v>
      </c>
      <c r="F575" s="494" t="s">
        <v>763</v>
      </c>
      <c r="G575" s="502" t="s">
        <v>347</v>
      </c>
      <c r="H575" s="303" t="s">
        <v>332</v>
      </c>
      <c r="I575" s="582" t="str">
        <f>VLOOKUP(H575,'9a-Typen vloeren'!$A$10:$B$40,2,FALSE)</f>
        <v>Sproei/extraheren</v>
      </c>
      <c r="J575" s="590">
        <v>87.9</v>
      </c>
      <c r="K575" s="433">
        <f t="shared" si="40"/>
        <v>0</v>
      </c>
      <c r="L575" s="433">
        <f t="shared" si="41"/>
        <v>0</v>
      </c>
      <c r="M575" s="433">
        <f t="shared" si="42"/>
        <v>87.9</v>
      </c>
      <c r="N575" s="672"/>
      <c r="O575" s="729">
        <f>IF(N575="",0,N575*K575/'9b-Vloeronderhoud'!$F$4)</f>
        <v>0</v>
      </c>
      <c r="P575" s="672"/>
      <c r="Q575" s="729" t="e">
        <f>IF(O575="",0,P575*L575/'9b-Vloeronderhoud'!$F$6)</f>
        <v>#DIV/0!</v>
      </c>
      <c r="R575" s="449">
        <v>1</v>
      </c>
      <c r="S575" s="672">
        <v>44</v>
      </c>
      <c r="T575" s="161" t="e">
        <f t="shared" si="43"/>
        <v>#DIV/0!</v>
      </c>
      <c r="U575" s="162">
        <f>IF(S575="nio",0,IF(S575&gt;0,VLOOKUP(G575,'3-Productie normen'!A:K,VLOOKUP(S575,'3-Productie normen'!L:N,3,FALSE),FALSE)))</f>
        <v>0</v>
      </c>
      <c r="V575" s="162">
        <f>VLOOKUP(G575,'3-Productie normen'!A:K,10,FALSE)</f>
        <v>1134.6299961853026</v>
      </c>
      <c r="W575" s="163">
        <f>VLOOKUP(G575,'3-Productie normen'!A:K,11,FALSE)</f>
        <v>0</v>
      </c>
      <c r="X575" s="163"/>
      <c r="Z575" s="129">
        <f t="shared" si="44"/>
        <v>3867.6000000000004</v>
      </c>
    </row>
    <row r="576" spans="1:26" ht="14.1" customHeight="1">
      <c r="A576" s="144">
        <v>582</v>
      </c>
      <c r="B576" s="525" t="s">
        <v>238</v>
      </c>
      <c r="C576" s="159" t="s">
        <v>603</v>
      </c>
      <c r="D576" s="132" t="s">
        <v>98</v>
      </c>
      <c r="E576" s="711" t="s">
        <v>415</v>
      </c>
      <c r="F576" s="494" t="s">
        <v>382</v>
      </c>
      <c r="G576" s="460" t="s">
        <v>881</v>
      </c>
      <c r="H576" s="170" t="s">
        <v>333</v>
      </c>
      <c r="I576" s="582" t="str">
        <f>VLOOKUP(H576,'9a-Typen vloeren'!$A$10:$B$40,2,FALSE)</f>
        <v>Schrobben</v>
      </c>
      <c r="J576" s="590">
        <v>5.9</v>
      </c>
      <c r="K576" s="433">
        <f t="shared" si="40"/>
        <v>0</v>
      </c>
      <c r="L576" s="433">
        <f t="shared" si="41"/>
        <v>0</v>
      </c>
      <c r="M576" s="433">
        <f t="shared" si="42"/>
        <v>0</v>
      </c>
      <c r="N576" s="672"/>
      <c r="O576" s="729">
        <f>IF(N576="",0,N576*K576/'9b-Vloeronderhoud'!$F$4)</f>
        <v>0</v>
      </c>
      <c r="P576" s="672"/>
      <c r="Q576" s="729" t="e">
        <f>IF(O576="",0,P576*L576/'9b-Vloeronderhoud'!$F$6)</f>
        <v>#DIV/0!</v>
      </c>
      <c r="R576" s="449">
        <v>1</v>
      </c>
      <c r="S576" s="672" t="s">
        <v>179</v>
      </c>
      <c r="T576" s="161">
        <f t="shared" si="43"/>
        <v>0</v>
      </c>
      <c r="U576" s="162">
        <f>IF(S576="nio",0,IF(S576&gt;0,VLOOKUP(G576,'3-Productie normen'!A:K,VLOOKUP(S576,'3-Productie normen'!L:N,3,FALSE),FALSE)))</f>
        <v>0</v>
      </c>
      <c r="V576" s="162">
        <f>VLOOKUP(G576,'3-Productie normen'!A:K,10,FALSE)</f>
        <v>5262.809993648526</v>
      </c>
      <c r="W576" s="163">
        <f>VLOOKUP(G576,'3-Productie normen'!A:K,11,FALSE)</f>
        <v>0</v>
      </c>
      <c r="X576" s="163"/>
      <c r="Z576" s="129">
        <f t="shared" si="44"/>
        <v>0</v>
      </c>
    </row>
    <row r="577" spans="1:26" ht="14.1" customHeight="1">
      <c r="A577" s="144">
        <v>583</v>
      </c>
      <c r="B577" s="525" t="s">
        <v>238</v>
      </c>
      <c r="C577" s="159" t="s">
        <v>603</v>
      </c>
      <c r="D577" s="132" t="s">
        <v>98</v>
      </c>
      <c r="E577" s="711" t="s">
        <v>416</v>
      </c>
      <c r="F577" s="494" t="s">
        <v>466</v>
      </c>
      <c r="G577" s="460" t="s">
        <v>881</v>
      </c>
      <c r="H577" s="170" t="s">
        <v>565</v>
      </c>
      <c r="I577" s="582" t="str">
        <f>VLOOKUP(H577,'9a-Typen vloeren'!$A$10:$B$40,2,FALSE)</f>
        <v>Schrobben</v>
      </c>
      <c r="J577" s="590">
        <v>19.899999999999999</v>
      </c>
      <c r="K577" s="433">
        <f t="shared" si="40"/>
        <v>0</v>
      </c>
      <c r="L577" s="433">
        <f t="shared" si="41"/>
        <v>0</v>
      </c>
      <c r="M577" s="433">
        <f t="shared" si="42"/>
        <v>0</v>
      </c>
      <c r="N577" s="672"/>
      <c r="O577" s="729">
        <f>IF(N577="",0,N577*K577/'9b-Vloeronderhoud'!$F$4)</f>
        <v>0</v>
      </c>
      <c r="P577" s="672"/>
      <c r="Q577" s="729" t="e">
        <f>IF(O577="",0,P577*L577/'9b-Vloeronderhoud'!$F$6)</f>
        <v>#DIV/0!</v>
      </c>
      <c r="R577" s="449">
        <v>1</v>
      </c>
      <c r="S577" s="672" t="s">
        <v>179</v>
      </c>
      <c r="T577" s="161">
        <f t="shared" si="43"/>
        <v>0</v>
      </c>
      <c r="U577" s="162">
        <f>IF(S577="nio",0,IF(S577&gt;0,VLOOKUP(G577,'3-Productie normen'!A:K,VLOOKUP(S577,'3-Productie normen'!L:N,3,FALSE),FALSE)))</f>
        <v>0</v>
      </c>
      <c r="V577" s="162">
        <f>VLOOKUP(G577,'3-Productie normen'!A:K,10,FALSE)</f>
        <v>5262.809993648526</v>
      </c>
      <c r="W577" s="163">
        <f>VLOOKUP(G577,'3-Productie normen'!A:K,11,FALSE)</f>
        <v>0</v>
      </c>
      <c r="X577" s="163"/>
      <c r="Z577" s="129">
        <f t="shared" si="44"/>
        <v>0</v>
      </c>
    </row>
    <row r="578" spans="1:26" ht="14.1" customHeight="1">
      <c r="A578" s="144">
        <v>584</v>
      </c>
      <c r="B578" s="525" t="s">
        <v>238</v>
      </c>
      <c r="C578" s="159" t="s">
        <v>603</v>
      </c>
      <c r="D578" s="132" t="s">
        <v>98</v>
      </c>
      <c r="E578" s="711" t="s">
        <v>417</v>
      </c>
      <c r="F578" s="494" t="s">
        <v>489</v>
      </c>
      <c r="G578" s="546" t="s">
        <v>99</v>
      </c>
      <c r="H578" s="170" t="s">
        <v>802</v>
      </c>
      <c r="I578" s="582" t="str">
        <f>VLOOKUP(H578,'9a-Typen vloeren'!$A$10:$B$40,2,FALSE)</f>
        <v>n.v.t.</v>
      </c>
      <c r="J578" s="590">
        <v>16.7</v>
      </c>
      <c r="K578" s="433">
        <f t="shared" si="40"/>
        <v>0</v>
      </c>
      <c r="L578" s="433">
        <f t="shared" si="41"/>
        <v>0</v>
      </c>
      <c r="M578" s="433">
        <f t="shared" si="42"/>
        <v>0</v>
      </c>
      <c r="N578" s="672"/>
      <c r="O578" s="729">
        <f>IF(N578="",0,N578*K578/'9b-Vloeronderhoud'!$F$4)</f>
        <v>0</v>
      </c>
      <c r="P578" s="672"/>
      <c r="Q578" s="729" t="e">
        <f>IF(O578="",0,P578*L578/'9b-Vloeronderhoud'!$F$6)</f>
        <v>#DIV/0!</v>
      </c>
      <c r="R578" s="449">
        <v>1</v>
      </c>
      <c r="S578" s="672">
        <v>190</v>
      </c>
      <c r="T578" s="161" t="e">
        <f t="shared" si="43"/>
        <v>#DIV/0!</v>
      </c>
      <c r="U578" s="162">
        <f>IF(S578="nio",0,IF(S578&gt;0,VLOOKUP(G578,'3-Productie normen'!A:K,VLOOKUP(S578,'3-Productie normen'!L:N,3,FALSE),FALSE)))</f>
        <v>0</v>
      </c>
      <c r="V578" s="162">
        <f>VLOOKUP(G578,'3-Productie normen'!A:K,10,FALSE)</f>
        <v>726.97999910354622</v>
      </c>
      <c r="W578" s="163">
        <f>VLOOKUP(G578,'3-Productie normen'!A:K,11,FALSE)</f>
        <v>0</v>
      </c>
      <c r="X578" s="163"/>
      <c r="Z578" s="129">
        <f t="shared" si="44"/>
        <v>3173</v>
      </c>
    </row>
    <row r="579" spans="1:26" ht="14.1" customHeight="1">
      <c r="A579" s="144">
        <v>585</v>
      </c>
      <c r="B579" s="525" t="s">
        <v>238</v>
      </c>
      <c r="C579" s="159" t="s">
        <v>603</v>
      </c>
      <c r="D579" s="132" t="s">
        <v>98</v>
      </c>
      <c r="E579" s="711" t="s">
        <v>418</v>
      </c>
      <c r="F579" s="494" t="s">
        <v>404</v>
      </c>
      <c r="G579" s="122" t="s">
        <v>286</v>
      </c>
      <c r="H579" s="170" t="s">
        <v>333</v>
      </c>
      <c r="I579" s="582" t="str">
        <f>VLOOKUP(H579,'9a-Typen vloeren'!$A$10:$B$40,2,FALSE)</f>
        <v>Schrobben</v>
      </c>
      <c r="J579" s="590">
        <v>120.3</v>
      </c>
      <c r="K579" s="433">
        <f t="shared" si="40"/>
        <v>0</v>
      </c>
      <c r="L579" s="433">
        <f t="shared" si="41"/>
        <v>120.3</v>
      </c>
      <c r="M579" s="433">
        <f t="shared" si="42"/>
        <v>0</v>
      </c>
      <c r="N579" s="672"/>
      <c r="O579" s="729">
        <f>IF(N579="",0,N579*K579/'9b-Vloeronderhoud'!$F$4)</f>
        <v>0</v>
      </c>
      <c r="P579" s="672">
        <v>3</v>
      </c>
      <c r="Q579" s="729" t="e">
        <f>IF(O579="",0,P579*L579/'9b-Vloeronderhoud'!$F$6)</f>
        <v>#DIV/0!</v>
      </c>
      <c r="R579" s="449">
        <v>1</v>
      </c>
      <c r="S579" s="672">
        <v>120</v>
      </c>
      <c r="T579" s="161" t="e">
        <f t="shared" si="43"/>
        <v>#DIV/0!</v>
      </c>
      <c r="U579" s="162">
        <f>IF(S579="nio",0,IF(S579&gt;0,VLOOKUP(G579,'3-Productie normen'!A:K,VLOOKUP(S579,'3-Productie normen'!L:N,3,FALSE),FALSE)))</f>
        <v>0</v>
      </c>
      <c r="V579" s="162">
        <f>VLOOKUP(G579,'3-Productie normen'!A:K,10,FALSE)</f>
        <v>6152.9500017547598</v>
      </c>
      <c r="W579" s="163">
        <f>VLOOKUP(G579,'3-Productie normen'!A:K,11,FALSE)</f>
        <v>0</v>
      </c>
      <c r="X579" s="163"/>
      <c r="Z579" s="129">
        <f t="shared" si="44"/>
        <v>14436</v>
      </c>
    </row>
    <row r="580" spans="1:26" ht="14.1" customHeight="1">
      <c r="A580" s="144">
        <v>586</v>
      </c>
      <c r="B580" s="525" t="s">
        <v>238</v>
      </c>
      <c r="C580" s="159" t="s">
        <v>603</v>
      </c>
      <c r="D580" s="132" t="s">
        <v>98</v>
      </c>
      <c r="E580" s="702" t="s">
        <v>521</v>
      </c>
      <c r="F580" s="494" t="s">
        <v>266</v>
      </c>
      <c r="G580" s="460" t="s">
        <v>881</v>
      </c>
      <c r="H580" s="170" t="s">
        <v>333</v>
      </c>
      <c r="I580" s="582" t="str">
        <f>VLOOKUP(H580,'9a-Typen vloeren'!$A$10:$B$40,2,FALSE)</f>
        <v>Schrobben</v>
      </c>
      <c r="J580" s="590">
        <v>1.2</v>
      </c>
      <c r="K580" s="433">
        <f t="shared" si="40"/>
        <v>0</v>
      </c>
      <c r="L580" s="433">
        <f t="shared" si="41"/>
        <v>0</v>
      </c>
      <c r="M580" s="433">
        <f t="shared" si="42"/>
        <v>0</v>
      </c>
      <c r="N580" s="672"/>
      <c r="O580" s="729">
        <f>IF(N580="",0,N580*K580/'9b-Vloeronderhoud'!$F$4)</f>
        <v>0</v>
      </c>
      <c r="P580" s="672"/>
      <c r="Q580" s="729" t="e">
        <f>IF(O580="",0,P580*L580/'9b-Vloeronderhoud'!$F$6)</f>
        <v>#DIV/0!</v>
      </c>
      <c r="R580" s="449">
        <v>1</v>
      </c>
      <c r="S580" s="672" t="s">
        <v>179</v>
      </c>
      <c r="T580" s="161">
        <f t="shared" si="43"/>
        <v>0</v>
      </c>
      <c r="U580" s="162">
        <f>IF(S580="nio",0,IF(S580&gt;0,VLOOKUP(G580,'3-Productie normen'!A:K,VLOOKUP(S580,'3-Productie normen'!L:N,3,FALSE),FALSE)))</f>
        <v>0</v>
      </c>
      <c r="V580" s="162">
        <f>VLOOKUP(G580,'3-Productie normen'!A:K,10,FALSE)</f>
        <v>5262.809993648526</v>
      </c>
      <c r="W580" s="163">
        <f>VLOOKUP(G580,'3-Productie normen'!A:K,11,FALSE)</f>
        <v>0</v>
      </c>
      <c r="X580" s="163"/>
      <c r="Z580" s="129">
        <f t="shared" si="44"/>
        <v>0</v>
      </c>
    </row>
    <row r="581" spans="1:26" ht="14.1" customHeight="1">
      <c r="A581" s="144">
        <v>587</v>
      </c>
      <c r="B581" s="525" t="s">
        <v>238</v>
      </c>
      <c r="C581" s="159" t="s">
        <v>603</v>
      </c>
      <c r="D581" s="132" t="s">
        <v>98</v>
      </c>
      <c r="E581" s="702" t="s">
        <v>522</v>
      </c>
      <c r="F581" s="543" t="s">
        <v>481</v>
      </c>
      <c r="G581" s="122" t="s">
        <v>287</v>
      </c>
      <c r="H581" s="170" t="s">
        <v>933</v>
      </c>
      <c r="I581" s="582" t="str">
        <f>VLOOKUP(H581,'9a-Typen vloeren'!$A$10:$B$40,2,FALSE)</f>
        <v>n.v.t.</v>
      </c>
      <c r="J581" s="590">
        <v>15</v>
      </c>
      <c r="K581" s="433">
        <f t="shared" ref="K581:K644" si="45">IF(G581="niet in onderhoud",0,IF(I581="sprayen/ conserveren",J581,0))</f>
        <v>0</v>
      </c>
      <c r="L581" s="433">
        <f t="shared" ref="L581:L644" si="46">IF(G581="niet in onderhoud",0,IF(I581="schrobben",J581,0))</f>
        <v>0</v>
      </c>
      <c r="M581" s="433">
        <f t="shared" ref="M581:M644" si="47">IF(G581="niet in onderhoud",0,IF(I581="Sproei/extraheren",J581,0))</f>
        <v>0</v>
      </c>
      <c r="N581" s="672"/>
      <c r="O581" s="729">
        <f>IF(N581="",0,N581*K581/'9b-Vloeronderhoud'!$F$4)</f>
        <v>0</v>
      </c>
      <c r="P581" s="672"/>
      <c r="Q581" s="729" t="e">
        <f>IF(O581="",0,P581*L581/'9b-Vloeronderhoud'!$F$6)</f>
        <v>#DIV/0!</v>
      </c>
      <c r="R581" s="449">
        <v>1</v>
      </c>
      <c r="S581" s="672">
        <v>80</v>
      </c>
      <c r="T581" s="161" t="e">
        <f t="shared" si="43"/>
        <v>#DIV/0!</v>
      </c>
      <c r="U581" s="162">
        <f>IF(S581="nio",0,IF(S581&gt;0,VLOOKUP(G581,'3-Productie normen'!A:K,VLOOKUP(S581,'3-Productie normen'!L:N,3,FALSE),FALSE)))</f>
        <v>0</v>
      </c>
      <c r="V581" s="162">
        <f>VLOOKUP(G581,'3-Productie normen'!A:K,10,FALSE)</f>
        <v>519.460002565384</v>
      </c>
      <c r="W581" s="163">
        <f>VLOOKUP(G581,'3-Productie normen'!A:K,11,FALSE)</f>
        <v>0</v>
      </c>
      <c r="X581" s="163"/>
      <c r="Z581" s="129">
        <f t="shared" si="44"/>
        <v>1200</v>
      </c>
    </row>
    <row r="582" spans="1:26" ht="14.1" customHeight="1">
      <c r="A582" s="144">
        <v>588</v>
      </c>
      <c r="B582" s="525" t="s">
        <v>238</v>
      </c>
      <c r="C582" s="159" t="s">
        <v>603</v>
      </c>
      <c r="D582" s="132" t="s">
        <v>98</v>
      </c>
      <c r="E582" s="702" t="s">
        <v>523</v>
      </c>
      <c r="F582" s="494" t="s">
        <v>481</v>
      </c>
      <c r="G582" s="303" t="s">
        <v>287</v>
      </c>
      <c r="H582" s="170" t="s">
        <v>933</v>
      </c>
      <c r="I582" s="582" t="str">
        <f>VLOOKUP(H582,'9a-Typen vloeren'!$A$10:$B$40,2,FALSE)</f>
        <v>n.v.t.</v>
      </c>
      <c r="J582" s="590">
        <v>15</v>
      </c>
      <c r="K582" s="433">
        <f t="shared" si="45"/>
        <v>0</v>
      </c>
      <c r="L582" s="433">
        <f t="shared" si="46"/>
        <v>0</v>
      </c>
      <c r="M582" s="433">
        <f t="shared" si="47"/>
        <v>0</v>
      </c>
      <c r="N582" s="672"/>
      <c r="O582" s="729">
        <f>IF(N582="",0,N582*K582/'9b-Vloeronderhoud'!$F$4)</f>
        <v>0</v>
      </c>
      <c r="P582" s="672"/>
      <c r="Q582" s="729" t="e">
        <f>IF(O582="",0,P582*L582/'9b-Vloeronderhoud'!$F$6)</f>
        <v>#DIV/0!</v>
      </c>
      <c r="R582" s="449">
        <v>1</v>
      </c>
      <c r="S582" s="672">
        <v>80</v>
      </c>
      <c r="T582" s="161" t="e">
        <f t="shared" si="43"/>
        <v>#DIV/0!</v>
      </c>
      <c r="U582" s="162">
        <f>IF(S582="nio",0,IF(S582&gt;0,VLOOKUP(G582,'3-Productie normen'!A:K,VLOOKUP(S582,'3-Productie normen'!L:N,3,FALSE),FALSE)))</f>
        <v>0</v>
      </c>
      <c r="V582" s="162">
        <f>VLOOKUP(G582,'3-Productie normen'!A:K,10,FALSE)</f>
        <v>519.460002565384</v>
      </c>
      <c r="W582" s="163">
        <f>VLOOKUP(G582,'3-Productie normen'!A:K,11,FALSE)</f>
        <v>0</v>
      </c>
      <c r="X582" s="163"/>
      <c r="Z582" s="129">
        <f t="shared" si="44"/>
        <v>1200</v>
      </c>
    </row>
    <row r="583" spans="1:26" ht="14.1" customHeight="1">
      <c r="A583" s="144">
        <v>589</v>
      </c>
      <c r="B583" s="525" t="s">
        <v>238</v>
      </c>
      <c r="C583" s="159" t="s">
        <v>603</v>
      </c>
      <c r="D583" s="132">
        <v>1</v>
      </c>
      <c r="E583" s="702" t="s">
        <v>351</v>
      </c>
      <c r="F583" s="494" t="s">
        <v>404</v>
      </c>
      <c r="G583" s="533" t="s">
        <v>286</v>
      </c>
      <c r="H583" s="170" t="s">
        <v>333</v>
      </c>
      <c r="I583" s="582" t="str">
        <f>VLOOKUP(H583,'9a-Typen vloeren'!$A$10:$B$40,2,FALSE)</f>
        <v>Schrobben</v>
      </c>
      <c r="J583" s="590">
        <v>33.6</v>
      </c>
      <c r="K583" s="433">
        <f t="shared" si="45"/>
        <v>0</v>
      </c>
      <c r="L583" s="433">
        <f t="shared" si="46"/>
        <v>33.6</v>
      </c>
      <c r="M583" s="433">
        <f t="shared" si="47"/>
        <v>0</v>
      </c>
      <c r="N583" s="672"/>
      <c r="O583" s="729">
        <f>IF(N583="",0,N583*K583/'9b-Vloeronderhoud'!$F$4)</f>
        <v>0</v>
      </c>
      <c r="P583" s="672">
        <v>3</v>
      </c>
      <c r="Q583" s="729" t="e">
        <f>IF(O583="",0,P583*L583/'9b-Vloeronderhoud'!$F$6)</f>
        <v>#DIV/0!</v>
      </c>
      <c r="R583" s="449">
        <v>1</v>
      </c>
      <c r="S583" s="672">
        <v>120</v>
      </c>
      <c r="T583" s="161" t="e">
        <f t="shared" si="43"/>
        <v>#DIV/0!</v>
      </c>
      <c r="U583" s="162">
        <f>IF(S583="nio",0,IF(S583&gt;0,VLOOKUP(G583,'3-Productie normen'!A:K,VLOOKUP(S583,'3-Productie normen'!L:N,3,FALSE),FALSE)))</f>
        <v>0</v>
      </c>
      <c r="V583" s="162">
        <f>VLOOKUP(G583,'3-Productie normen'!A:K,10,FALSE)</f>
        <v>6152.9500017547598</v>
      </c>
      <c r="W583" s="163">
        <f>VLOOKUP(G583,'3-Productie normen'!A:K,11,FALSE)</f>
        <v>0</v>
      </c>
      <c r="X583" s="163"/>
      <c r="Z583" s="129">
        <f t="shared" si="44"/>
        <v>4032</v>
      </c>
    </row>
    <row r="584" spans="1:26" ht="14.1" customHeight="1">
      <c r="A584" s="144">
        <v>590</v>
      </c>
      <c r="B584" s="525" t="s">
        <v>238</v>
      </c>
      <c r="C584" s="159" t="s">
        <v>603</v>
      </c>
      <c r="D584" s="132">
        <v>1</v>
      </c>
      <c r="E584" s="702" t="s">
        <v>352</v>
      </c>
      <c r="F584" s="494" t="s">
        <v>470</v>
      </c>
      <c r="G584" s="460" t="s">
        <v>221</v>
      </c>
      <c r="H584" s="303" t="s">
        <v>332</v>
      </c>
      <c r="I584" s="582" t="str">
        <f>VLOOKUP(H584,'9a-Typen vloeren'!$A$10:$B$40,2,FALSE)</f>
        <v>Sproei/extraheren</v>
      </c>
      <c r="J584" s="590">
        <v>51.7</v>
      </c>
      <c r="K584" s="433">
        <f t="shared" si="45"/>
        <v>0</v>
      </c>
      <c r="L584" s="433">
        <f t="shared" si="46"/>
        <v>0</v>
      </c>
      <c r="M584" s="433">
        <f t="shared" si="47"/>
        <v>51.7</v>
      </c>
      <c r="N584" s="672"/>
      <c r="O584" s="729">
        <f>IF(N584="",0,N584*K584/'9b-Vloeronderhoud'!$F$4)</f>
        <v>0</v>
      </c>
      <c r="P584" s="672"/>
      <c r="Q584" s="729" t="e">
        <f>IF(O584="",0,P584*L584/'9b-Vloeronderhoud'!$F$6)</f>
        <v>#DIV/0!</v>
      </c>
      <c r="R584" s="449">
        <v>1</v>
      </c>
      <c r="S584" s="688" t="s">
        <v>179</v>
      </c>
      <c r="T584" s="161">
        <f t="shared" si="43"/>
        <v>0</v>
      </c>
      <c r="U584" s="162">
        <f>IF(S584="nio",0,IF(S584&gt;0,VLOOKUP(G584,'3-Productie normen'!A:K,VLOOKUP(S584,'3-Productie normen'!L:N,3,FALSE),FALSE)))</f>
        <v>0</v>
      </c>
      <c r="V584" s="162">
        <f>VLOOKUP(G584,'3-Productie normen'!A:K,10,FALSE)</f>
        <v>16013.110036668773</v>
      </c>
      <c r="W584" s="163">
        <f>VLOOKUP(G584,'3-Productie normen'!A:K,11,FALSE)</f>
        <v>0</v>
      </c>
      <c r="X584" s="163"/>
      <c r="Z584" s="129">
        <f t="shared" si="44"/>
        <v>0</v>
      </c>
    </row>
    <row r="585" spans="1:26" ht="14.1" customHeight="1">
      <c r="A585" s="144">
        <v>591</v>
      </c>
      <c r="B585" s="525" t="s">
        <v>238</v>
      </c>
      <c r="C585" s="159" t="s">
        <v>603</v>
      </c>
      <c r="D585" s="132">
        <v>1</v>
      </c>
      <c r="E585" s="702" t="s">
        <v>507</v>
      </c>
      <c r="F585" s="494" t="s">
        <v>849</v>
      </c>
      <c r="G585" s="460" t="s">
        <v>881</v>
      </c>
      <c r="H585" s="170" t="s">
        <v>333</v>
      </c>
      <c r="I585" s="582" t="str">
        <f>VLOOKUP(H585,'9a-Typen vloeren'!$A$10:$B$40,2,FALSE)</f>
        <v>Schrobben</v>
      </c>
      <c r="J585" s="590">
        <v>2.2000000000000002</v>
      </c>
      <c r="K585" s="433">
        <f t="shared" si="45"/>
        <v>0</v>
      </c>
      <c r="L585" s="433">
        <f t="shared" si="46"/>
        <v>0</v>
      </c>
      <c r="M585" s="433">
        <f t="shared" si="47"/>
        <v>0</v>
      </c>
      <c r="N585" s="672"/>
      <c r="O585" s="729">
        <f>IF(N585="",0,N585*K585/'9b-Vloeronderhoud'!$F$4)</f>
        <v>0</v>
      </c>
      <c r="P585" s="672"/>
      <c r="Q585" s="729" t="e">
        <f>IF(O585="",0,P585*L585/'9b-Vloeronderhoud'!$F$6)</f>
        <v>#DIV/0!</v>
      </c>
      <c r="R585" s="449">
        <v>1</v>
      </c>
      <c r="S585" s="672" t="s">
        <v>179</v>
      </c>
      <c r="T585" s="161">
        <f t="shared" si="43"/>
        <v>0</v>
      </c>
      <c r="U585" s="162">
        <f>IF(S585="nio",0,IF(S585&gt;0,VLOOKUP(G585,'3-Productie normen'!A:K,VLOOKUP(S585,'3-Productie normen'!L:N,3,FALSE),FALSE)))</f>
        <v>0</v>
      </c>
      <c r="V585" s="162">
        <f>VLOOKUP(G585,'3-Productie normen'!A:K,10,FALSE)</f>
        <v>5262.809993648526</v>
      </c>
      <c r="W585" s="163">
        <f>VLOOKUP(G585,'3-Productie normen'!A:K,11,FALSE)</f>
        <v>0</v>
      </c>
      <c r="X585" s="163"/>
      <c r="Z585" s="129">
        <f t="shared" si="44"/>
        <v>0</v>
      </c>
    </row>
    <row r="586" spans="1:26" ht="14.1" customHeight="1">
      <c r="A586" s="144">
        <v>592</v>
      </c>
      <c r="B586" s="525" t="s">
        <v>238</v>
      </c>
      <c r="C586" s="159" t="s">
        <v>603</v>
      </c>
      <c r="D586" s="132">
        <v>1</v>
      </c>
      <c r="E586" s="702" t="s">
        <v>638</v>
      </c>
      <c r="F586" s="494" t="s">
        <v>451</v>
      </c>
      <c r="G586" s="460" t="s">
        <v>881</v>
      </c>
      <c r="H586" s="170" t="s">
        <v>333</v>
      </c>
      <c r="I586" s="582" t="str">
        <f>VLOOKUP(H586,'9a-Typen vloeren'!$A$10:$B$40,2,FALSE)</f>
        <v>Schrobben</v>
      </c>
      <c r="J586" s="590">
        <v>1.6</v>
      </c>
      <c r="K586" s="433">
        <f t="shared" si="45"/>
        <v>0</v>
      </c>
      <c r="L586" s="433">
        <f t="shared" si="46"/>
        <v>0</v>
      </c>
      <c r="M586" s="433">
        <f t="shared" si="47"/>
        <v>0</v>
      </c>
      <c r="N586" s="672"/>
      <c r="O586" s="729">
        <f>IF(N586="",0,N586*K586/'9b-Vloeronderhoud'!$F$4)</f>
        <v>0</v>
      </c>
      <c r="P586" s="672"/>
      <c r="Q586" s="729" t="e">
        <f>IF(O586="",0,P586*L586/'9b-Vloeronderhoud'!$F$6)</f>
        <v>#DIV/0!</v>
      </c>
      <c r="R586" s="449">
        <v>1</v>
      </c>
      <c r="S586" s="672" t="s">
        <v>179</v>
      </c>
      <c r="T586" s="161">
        <f t="shared" ref="T586:T649" si="48">IF(S586="nio",0,IF(S586&gt;0,S586*J586/U586,0))*R586</f>
        <v>0</v>
      </c>
      <c r="U586" s="162">
        <f>IF(S586="nio",0,IF(S586&gt;0,VLOOKUP(G586,'3-Productie normen'!A:K,VLOOKUP(S586,'3-Productie normen'!L:N,3,FALSE),FALSE)))</f>
        <v>0</v>
      </c>
      <c r="V586" s="162">
        <f>VLOOKUP(G586,'3-Productie normen'!A:K,10,FALSE)</f>
        <v>5262.809993648526</v>
      </c>
      <c r="W586" s="163">
        <f>VLOOKUP(G586,'3-Productie normen'!A:K,11,FALSE)</f>
        <v>0</v>
      </c>
      <c r="X586" s="163"/>
      <c r="Z586" s="129">
        <f t="shared" ref="Z586:Z649" si="49">SUM(S586:S586)*J586</f>
        <v>0</v>
      </c>
    </row>
    <row r="587" spans="1:26" ht="14.1" customHeight="1">
      <c r="A587" s="144">
        <v>593</v>
      </c>
      <c r="B587" s="525" t="s">
        <v>238</v>
      </c>
      <c r="C587" s="159" t="s">
        <v>603</v>
      </c>
      <c r="D587" s="132">
        <v>1</v>
      </c>
      <c r="E587" s="702" t="s">
        <v>356</v>
      </c>
      <c r="F587" s="494" t="s">
        <v>850</v>
      </c>
      <c r="G587" s="533" t="s">
        <v>421</v>
      </c>
      <c r="H587" s="170" t="s">
        <v>100</v>
      </c>
      <c r="I587" s="582" t="str">
        <f>VLOOKUP(H587,'9a-Typen vloeren'!$A$10:$B$40,2,FALSE)</f>
        <v>Sprayen/ conserveren</v>
      </c>
      <c r="J587" s="590">
        <v>65.900000000000006</v>
      </c>
      <c r="K587" s="433">
        <f t="shared" si="45"/>
        <v>65.900000000000006</v>
      </c>
      <c r="L587" s="433">
        <f t="shared" si="46"/>
        <v>0</v>
      </c>
      <c r="M587" s="433">
        <f t="shared" si="47"/>
        <v>0</v>
      </c>
      <c r="N587" s="672"/>
      <c r="O587" s="729">
        <f>IF(N587="",0,N587*K587/'9b-Vloeronderhoud'!$F$4)</f>
        <v>0</v>
      </c>
      <c r="P587" s="672"/>
      <c r="Q587" s="729" t="e">
        <f>IF(O587="",0,P587*L587/'9b-Vloeronderhoud'!$F$6)</f>
        <v>#DIV/0!</v>
      </c>
      <c r="R587" s="449">
        <v>1</v>
      </c>
      <c r="S587" s="672">
        <v>40</v>
      </c>
      <c r="T587" s="161" t="e">
        <f t="shared" si="48"/>
        <v>#DIV/0!</v>
      </c>
      <c r="U587" s="162">
        <f>IF(S587="nio",0,IF(S587&gt;0,VLOOKUP(G587,'3-Productie normen'!A:K,VLOOKUP(S587,'3-Productie normen'!L:N,3,FALSE),FALSE)))</f>
        <v>0</v>
      </c>
      <c r="V587" s="162">
        <f>VLOOKUP(G587,'3-Productie normen'!A:K,10,FALSE)</f>
        <v>865.11000061035156</v>
      </c>
      <c r="W587" s="163">
        <f>VLOOKUP(G587,'3-Productie normen'!A:K,11,FALSE)</f>
        <v>0</v>
      </c>
      <c r="X587" s="163"/>
      <c r="Z587" s="129">
        <f t="shared" si="49"/>
        <v>2636</v>
      </c>
    </row>
    <row r="588" spans="1:26" ht="14.1" customHeight="1">
      <c r="A588" s="144">
        <v>594</v>
      </c>
      <c r="B588" s="525" t="s">
        <v>238</v>
      </c>
      <c r="C588" s="159" t="s">
        <v>603</v>
      </c>
      <c r="D588" s="132">
        <v>1</v>
      </c>
      <c r="E588" s="702" t="s">
        <v>357</v>
      </c>
      <c r="F588" s="494" t="s">
        <v>470</v>
      </c>
      <c r="G588" s="546" t="s">
        <v>221</v>
      </c>
      <c r="H588" s="303" t="s">
        <v>332</v>
      </c>
      <c r="I588" s="582" t="str">
        <f>VLOOKUP(H588,'9a-Typen vloeren'!$A$10:$B$40,2,FALSE)</f>
        <v>Sproei/extraheren</v>
      </c>
      <c r="J588" s="590">
        <v>55.9</v>
      </c>
      <c r="K588" s="433">
        <f t="shared" si="45"/>
        <v>0</v>
      </c>
      <c r="L588" s="433">
        <f t="shared" si="46"/>
        <v>0</v>
      </c>
      <c r="M588" s="433">
        <f t="shared" si="47"/>
        <v>55.9</v>
      </c>
      <c r="N588" s="672"/>
      <c r="O588" s="729">
        <f>IF(N588="",0,N588*K588/'9b-Vloeronderhoud'!$F$4)</f>
        <v>0</v>
      </c>
      <c r="P588" s="672"/>
      <c r="Q588" s="729" t="e">
        <f>IF(O588="",0,P588*L588/'9b-Vloeronderhoud'!$F$6)</f>
        <v>#DIV/0!</v>
      </c>
      <c r="R588" s="449">
        <v>1</v>
      </c>
      <c r="S588" s="688" t="s">
        <v>179</v>
      </c>
      <c r="T588" s="161">
        <f t="shared" si="48"/>
        <v>0</v>
      </c>
      <c r="U588" s="162">
        <f>IF(S588="nio",0,IF(S588&gt;0,VLOOKUP(G588,'3-Productie normen'!A:K,VLOOKUP(S588,'3-Productie normen'!L:N,3,FALSE),FALSE)))</f>
        <v>0</v>
      </c>
      <c r="V588" s="162">
        <f>VLOOKUP(G588,'3-Productie normen'!A:K,10,FALSE)</f>
        <v>16013.110036668773</v>
      </c>
      <c r="W588" s="163">
        <f>VLOOKUP(G588,'3-Productie normen'!A:K,11,FALSE)</f>
        <v>0</v>
      </c>
      <c r="X588" s="163"/>
      <c r="Z588" s="129">
        <f t="shared" si="49"/>
        <v>0</v>
      </c>
    </row>
    <row r="589" spans="1:26" ht="14.1" customHeight="1">
      <c r="A589" s="144">
        <v>595</v>
      </c>
      <c r="B589" s="525" t="s">
        <v>238</v>
      </c>
      <c r="C589" s="159" t="s">
        <v>603</v>
      </c>
      <c r="D589" s="132">
        <v>1</v>
      </c>
      <c r="E589" s="702" t="s">
        <v>358</v>
      </c>
      <c r="F589" s="494" t="s">
        <v>267</v>
      </c>
      <c r="G589" s="122" t="s">
        <v>18</v>
      </c>
      <c r="H589" s="303" t="s">
        <v>955</v>
      </c>
      <c r="I589" s="582" t="str">
        <f>VLOOKUP(H589,'9a-Typen vloeren'!$A$10:$B$40,2,FALSE)</f>
        <v>zie kwaliteitsontwerp</v>
      </c>
      <c r="J589" s="590">
        <v>7.4</v>
      </c>
      <c r="K589" s="433">
        <f t="shared" si="45"/>
        <v>0</v>
      </c>
      <c r="L589" s="433">
        <f t="shared" si="46"/>
        <v>0</v>
      </c>
      <c r="M589" s="433">
        <f t="shared" si="47"/>
        <v>0</v>
      </c>
      <c r="N589" s="672"/>
      <c r="O589" s="729">
        <f>IF(N589="",0,N589*K589/'9b-Vloeronderhoud'!$F$4)</f>
        <v>0</v>
      </c>
      <c r="P589" s="672"/>
      <c r="Q589" s="729" t="e">
        <f>IF(O589="",0,P589*L589/'9b-Vloeronderhoud'!$F$6)</f>
        <v>#DIV/0!</v>
      </c>
      <c r="R589" s="449">
        <v>1</v>
      </c>
      <c r="S589" s="672">
        <v>190</v>
      </c>
      <c r="T589" s="161" t="e">
        <f t="shared" si="48"/>
        <v>#DIV/0!</v>
      </c>
      <c r="U589" s="162">
        <f>IF(S589="nio",0,IF(S589&gt;0,VLOOKUP(G589,'3-Productie normen'!A:K,VLOOKUP(S589,'3-Productie normen'!L:N,3,FALSE),FALSE)))</f>
        <v>0</v>
      </c>
      <c r="V589" s="162">
        <f>VLOOKUP(G589,'3-Productie normen'!A:K,10,FALSE)</f>
        <v>1859.5880019121171</v>
      </c>
      <c r="W589" s="163">
        <f>VLOOKUP(G589,'3-Productie normen'!A:K,11,FALSE)</f>
        <v>0</v>
      </c>
      <c r="X589" s="163"/>
      <c r="Z589" s="129">
        <f t="shared" si="49"/>
        <v>1406</v>
      </c>
    </row>
    <row r="590" spans="1:26" ht="14.1" customHeight="1">
      <c r="A590" s="144">
        <v>596</v>
      </c>
      <c r="B590" s="525" t="s">
        <v>238</v>
      </c>
      <c r="C590" s="159" t="s">
        <v>603</v>
      </c>
      <c r="D590" s="132">
        <v>1</v>
      </c>
      <c r="E590" s="702" t="s">
        <v>359</v>
      </c>
      <c r="F590" s="494" t="s">
        <v>470</v>
      </c>
      <c r="G590" s="303" t="s">
        <v>221</v>
      </c>
      <c r="H590" s="303" t="s">
        <v>332</v>
      </c>
      <c r="I590" s="582" t="str">
        <f>VLOOKUP(H590,'9a-Typen vloeren'!$A$10:$B$40,2,FALSE)</f>
        <v>Sproei/extraheren</v>
      </c>
      <c r="J590" s="590">
        <v>55.9</v>
      </c>
      <c r="K590" s="433">
        <f t="shared" si="45"/>
        <v>0</v>
      </c>
      <c r="L590" s="433">
        <f t="shared" si="46"/>
        <v>0</v>
      </c>
      <c r="M590" s="433">
        <f t="shared" si="47"/>
        <v>55.9</v>
      </c>
      <c r="N590" s="672"/>
      <c r="O590" s="729">
        <f>IF(N590="",0,N590*K590/'9b-Vloeronderhoud'!$F$4)</f>
        <v>0</v>
      </c>
      <c r="P590" s="672"/>
      <c r="Q590" s="729" t="e">
        <f>IF(O590="",0,P590*L590/'9b-Vloeronderhoud'!$F$6)</f>
        <v>#DIV/0!</v>
      </c>
      <c r="R590" s="449">
        <v>1</v>
      </c>
      <c r="S590" s="672">
        <v>80</v>
      </c>
      <c r="T590" s="161" t="e">
        <f t="shared" si="48"/>
        <v>#DIV/0!</v>
      </c>
      <c r="U590" s="162">
        <f>IF(S590="nio",0,IF(S590&gt;0,VLOOKUP(G590,'3-Productie normen'!A:K,VLOOKUP(S590,'3-Productie normen'!L:N,3,FALSE),FALSE)))</f>
        <v>0</v>
      </c>
      <c r="V590" s="162">
        <f>VLOOKUP(G590,'3-Productie normen'!A:K,10,FALSE)</f>
        <v>16013.110036668773</v>
      </c>
      <c r="W590" s="163">
        <f>VLOOKUP(G590,'3-Productie normen'!A:K,11,FALSE)</f>
        <v>0</v>
      </c>
      <c r="X590" s="163"/>
      <c r="Z590" s="129">
        <f t="shared" si="49"/>
        <v>4472</v>
      </c>
    </row>
    <row r="591" spans="1:26" ht="14.1" customHeight="1">
      <c r="A591" s="144">
        <v>597</v>
      </c>
      <c r="B591" s="525" t="s">
        <v>238</v>
      </c>
      <c r="C591" s="159" t="s">
        <v>603</v>
      </c>
      <c r="D591" s="132">
        <v>1</v>
      </c>
      <c r="E591" s="702" t="s">
        <v>361</v>
      </c>
      <c r="F591" s="494" t="s">
        <v>382</v>
      </c>
      <c r="G591" s="460" t="s">
        <v>881</v>
      </c>
      <c r="H591" s="170" t="s">
        <v>333</v>
      </c>
      <c r="I591" s="582" t="str">
        <f>VLOOKUP(H591,'9a-Typen vloeren'!$A$10:$B$40,2,FALSE)</f>
        <v>Schrobben</v>
      </c>
      <c r="J591" s="590">
        <v>7.4</v>
      </c>
      <c r="K591" s="433">
        <f t="shared" si="45"/>
        <v>0</v>
      </c>
      <c r="L591" s="433">
        <f t="shared" si="46"/>
        <v>0</v>
      </c>
      <c r="M591" s="433">
        <f t="shared" si="47"/>
        <v>0</v>
      </c>
      <c r="N591" s="672"/>
      <c r="O591" s="729">
        <f>IF(N591="",0,N591*K591/'9b-Vloeronderhoud'!$F$4)</f>
        <v>0</v>
      </c>
      <c r="P591" s="672"/>
      <c r="Q591" s="729" t="e">
        <f>IF(O591="",0,P591*L591/'9b-Vloeronderhoud'!$F$6)</f>
        <v>#DIV/0!</v>
      </c>
      <c r="R591" s="449">
        <v>1</v>
      </c>
      <c r="S591" s="672" t="s">
        <v>179</v>
      </c>
      <c r="T591" s="161">
        <f t="shared" si="48"/>
        <v>0</v>
      </c>
      <c r="U591" s="162">
        <f>IF(S591="nio",0,IF(S591&gt;0,VLOOKUP(G591,'3-Productie normen'!A:K,VLOOKUP(S591,'3-Productie normen'!L:N,3,FALSE),FALSE)))</f>
        <v>0</v>
      </c>
      <c r="V591" s="162">
        <f>VLOOKUP(G591,'3-Productie normen'!A:K,10,FALSE)</f>
        <v>5262.809993648526</v>
      </c>
      <c r="W591" s="163">
        <f>VLOOKUP(G591,'3-Productie normen'!A:K,11,FALSE)</f>
        <v>0</v>
      </c>
      <c r="X591" s="163"/>
      <c r="Z591" s="129">
        <f t="shared" si="49"/>
        <v>0</v>
      </c>
    </row>
    <row r="592" spans="1:26" ht="14.1" customHeight="1">
      <c r="A592" s="144">
        <v>598</v>
      </c>
      <c r="B592" s="525" t="s">
        <v>238</v>
      </c>
      <c r="C592" s="159" t="s">
        <v>603</v>
      </c>
      <c r="D592" s="132">
        <v>1</v>
      </c>
      <c r="E592" s="702" t="s">
        <v>363</v>
      </c>
      <c r="F592" s="494" t="s">
        <v>470</v>
      </c>
      <c r="G592" s="460" t="s">
        <v>221</v>
      </c>
      <c r="H592" s="303" t="s">
        <v>332</v>
      </c>
      <c r="I592" s="582" t="str">
        <f>VLOOKUP(H592,'9a-Typen vloeren'!$A$10:$B$40,2,FALSE)</f>
        <v>Sproei/extraheren</v>
      </c>
      <c r="J592" s="590">
        <v>55.9</v>
      </c>
      <c r="K592" s="433">
        <f t="shared" si="45"/>
        <v>0</v>
      </c>
      <c r="L592" s="433">
        <f t="shared" si="46"/>
        <v>0</v>
      </c>
      <c r="M592" s="433">
        <f t="shared" si="47"/>
        <v>55.9</v>
      </c>
      <c r="N592" s="672"/>
      <c r="O592" s="729">
        <f>IF(N592="",0,N592*K592/'9b-Vloeronderhoud'!$F$4)</f>
        <v>0</v>
      </c>
      <c r="P592" s="672"/>
      <c r="Q592" s="729" t="e">
        <f>IF(O592="",0,P592*L592/'9b-Vloeronderhoud'!$F$6)</f>
        <v>#DIV/0!</v>
      </c>
      <c r="R592" s="449">
        <v>1</v>
      </c>
      <c r="S592" s="672">
        <v>80</v>
      </c>
      <c r="T592" s="161" t="e">
        <f t="shared" si="48"/>
        <v>#DIV/0!</v>
      </c>
      <c r="U592" s="162">
        <f>IF(S592="nio",0,IF(S592&gt;0,VLOOKUP(G592,'3-Productie normen'!A:K,VLOOKUP(S592,'3-Productie normen'!L:N,3,FALSE),FALSE)))</f>
        <v>0</v>
      </c>
      <c r="V592" s="162">
        <f>VLOOKUP(G592,'3-Productie normen'!A:K,10,FALSE)</f>
        <v>16013.110036668773</v>
      </c>
      <c r="W592" s="163">
        <f>VLOOKUP(G592,'3-Productie normen'!A:K,11,FALSE)</f>
        <v>0</v>
      </c>
      <c r="X592" s="163"/>
      <c r="Z592" s="129">
        <f t="shared" si="49"/>
        <v>4472</v>
      </c>
    </row>
    <row r="593" spans="1:26" ht="14.1" customHeight="1">
      <c r="A593" s="144">
        <v>599</v>
      </c>
      <c r="B593" s="525" t="s">
        <v>238</v>
      </c>
      <c r="C593" s="159" t="s">
        <v>603</v>
      </c>
      <c r="D593" s="132">
        <v>1</v>
      </c>
      <c r="E593" s="702" t="s">
        <v>364</v>
      </c>
      <c r="F593" s="494" t="s">
        <v>267</v>
      </c>
      <c r="G593" s="533" t="s">
        <v>18</v>
      </c>
      <c r="H593" s="303" t="s">
        <v>955</v>
      </c>
      <c r="I593" s="582" t="str">
        <f>VLOOKUP(H593,'9a-Typen vloeren'!$A$10:$B$40,2,FALSE)</f>
        <v>zie kwaliteitsontwerp</v>
      </c>
      <c r="J593" s="590">
        <v>7.4</v>
      </c>
      <c r="K593" s="433">
        <f t="shared" si="45"/>
        <v>0</v>
      </c>
      <c r="L593" s="433">
        <f t="shared" si="46"/>
        <v>0</v>
      </c>
      <c r="M593" s="433">
        <f t="shared" si="47"/>
        <v>0</v>
      </c>
      <c r="N593" s="672"/>
      <c r="O593" s="729">
        <f>IF(N593="",0,N593*K593/'9b-Vloeronderhoud'!$F$4)</f>
        <v>0</v>
      </c>
      <c r="P593" s="672"/>
      <c r="Q593" s="729" t="e">
        <f>IF(O593="",0,P593*L593/'9b-Vloeronderhoud'!$F$6)</f>
        <v>#DIV/0!</v>
      </c>
      <c r="R593" s="449">
        <v>1</v>
      </c>
      <c r="S593" s="672">
        <v>190</v>
      </c>
      <c r="T593" s="161" t="e">
        <f t="shared" si="48"/>
        <v>#DIV/0!</v>
      </c>
      <c r="U593" s="162">
        <f>IF(S593="nio",0,IF(S593&gt;0,VLOOKUP(G593,'3-Productie normen'!A:K,VLOOKUP(S593,'3-Productie normen'!L:N,3,FALSE),FALSE)))</f>
        <v>0</v>
      </c>
      <c r="V593" s="162">
        <f>VLOOKUP(G593,'3-Productie normen'!A:K,10,FALSE)</f>
        <v>1859.5880019121171</v>
      </c>
      <c r="W593" s="163">
        <f>VLOOKUP(G593,'3-Productie normen'!A:K,11,FALSE)</f>
        <v>0</v>
      </c>
      <c r="X593" s="163"/>
      <c r="Z593" s="129">
        <f t="shared" si="49"/>
        <v>1406</v>
      </c>
    </row>
    <row r="594" spans="1:26" ht="14.1" customHeight="1">
      <c r="A594" s="144">
        <v>600</v>
      </c>
      <c r="B594" s="525" t="s">
        <v>238</v>
      </c>
      <c r="C594" s="159" t="s">
        <v>603</v>
      </c>
      <c r="D594" s="132">
        <v>1</v>
      </c>
      <c r="E594" s="702" t="s">
        <v>366</v>
      </c>
      <c r="F594" s="494" t="s">
        <v>470</v>
      </c>
      <c r="G594" s="460" t="s">
        <v>221</v>
      </c>
      <c r="H594" s="303" t="s">
        <v>332</v>
      </c>
      <c r="I594" s="582" t="str">
        <f>VLOOKUP(H594,'9a-Typen vloeren'!$A$10:$B$40,2,FALSE)</f>
        <v>Sproei/extraheren</v>
      </c>
      <c r="J594" s="590">
        <v>55.9</v>
      </c>
      <c r="K594" s="433">
        <f t="shared" si="45"/>
        <v>0</v>
      </c>
      <c r="L594" s="433">
        <f t="shared" si="46"/>
        <v>0</v>
      </c>
      <c r="M594" s="433">
        <f t="shared" si="47"/>
        <v>55.9</v>
      </c>
      <c r="N594" s="672"/>
      <c r="O594" s="729">
        <f>IF(N594="",0,N594*K594/'9b-Vloeronderhoud'!$F$4)</f>
        <v>0</v>
      </c>
      <c r="P594" s="672"/>
      <c r="Q594" s="729" t="e">
        <f>IF(O594="",0,P594*L594/'9b-Vloeronderhoud'!$F$6)</f>
        <v>#DIV/0!</v>
      </c>
      <c r="R594" s="449">
        <v>1</v>
      </c>
      <c r="S594" s="672">
        <v>80</v>
      </c>
      <c r="T594" s="161" t="e">
        <f t="shared" si="48"/>
        <v>#DIV/0!</v>
      </c>
      <c r="U594" s="162">
        <f>IF(S594="nio",0,IF(S594&gt;0,VLOOKUP(G594,'3-Productie normen'!A:K,VLOOKUP(S594,'3-Productie normen'!L:N,3,FALSE),FALSE)))</f>
        <v>0</v>
      </c>
      <c r="V594" s="162">
        <f>VLOOKUP(G594,'3-Productie normen'!A:K,10,FALSE)</f>
        <v>16013.110036668773</v>
      </c>
      <c r="W594" s="163">
        <f>VLOOKUP(G594,'3-Productie normen'!A:K,11,FALSE)</f>
        <v>0</v>
      </c>
      <c r="X594" s="163"/>
      <c r="Z594" s="129">
        <f t="shared" si="49"/>
        <v>4472</v>
      </c>
    </row>
    <row r="595" spans="1:26" ht="14.1" customHeight="1">
      <c r="A595" s="144">
        <v>601</v>
      </c>
      <c r="B595" s="485" t="s">
        <v>238</v>
      </c>
      <c r="C595" s="159" t="s">
        <v>603</v>
      </c>
      <c r="D595" s="132">
        <v>1</v>
      </c>
      <c r="E595" s="702" t="s">
        <v>367</v>
      </c>
      <c r="F595" s="494" t="s">
        <v>382</v>
      </c>
      <c r="G595" s="460" t="s">
        <v>881</v>
      </c>
      <c r="H595" s="170" t="s">
        <v>333</v>
      </c>
      <c r="I595" s="582" t="str">
        <f>VLOOKUP(H595,'9a-Typen vloeren'!$A$10:$B$40,2,FALSE)</f>
        <v>Schrobben</v>
      </c>
      <c r="J595" s="590">
        <v>7.4</v>
      </c>
      <c r="K595" s="433">
        <f t="shared" si="45"/>
        <v>0</v>
      </c>
      <c r="L595" s="433">
        <f t="shared" si="46"/>
        <v>0</v>
      </c>
      <c r="M595" s="433">
        <f t="shared" si="47"/>
        <v>0</v>
      </c>
      <c r="N595" s="672"/>
      <c r="O595" s="729">
        <f>IF(N595="",0,N595*K595/'9b-Vloeronderhoud'!$F$4)</f>
        <v>0</v>
      </c>
      <c r="P595" s="672"/>
      <c r="Q595" s="729" t="e">
        <f>IF(O595="",0,P595*L595/'9b-Vloeronderhoud'!$F$6)</f>
        <v>#DIV/0!</v>
      </c>
      <c r="R595" s="449">
        <v>1</v>
      </c>
      <c r="S595" s="672" t="s">
        <v>179</v>
      </c>
      <c r="T595" s="161">
        <f t="shared" si="48"/>
        <v>0</v>
      </c>
      <c r="U595" s="162">
        <f>IF(S595="nio",0,IF(S595&gt;0,VLOOKUP(G595,'3-Productie normen'!A:K,VLOOKUP(S595,'3-Productie normen'!L:N,3,FALSE),FALSE)))</f>
        <v>0</v>
      </c>
      <c r="V595" s="162">
        <f>VLOOKUP(G595,'3-Productie normen'!A:K,10,FALSE)</f>
        <v>5262.809993648526</v>
      </c>
      <c r="W595" s="163">
        <f>VLOOKUP(G595,'3-Productie normen'!A:K,11,FALSE)</f>
        <v>0</v>
      </c>
      <c r="X595" s="163"/>
      <c r="Z595" s="129">
        <f t="shared" si="49"/>
        <v>0</v>
      </c>
    </row>
    <row r="596" spans="1:26" ht="14.1" customHeight="1">
      <c r="A596" s="144">
        <v>602</v>
      </c>
      <c r="B596" s="485" t="s">
        <v>238</v>
      </c>
      <c r="C596" s="159" t="s">
        <v>603</v>
      </c>
      <c r="D596" s="132">
        <v>1</v>
      </c>
      <c r="E596" s="702" t="s">
        <v>368</v>
      </c>
      <c r="F596" s="494" t="s">
        <v>470</v>
      </c>
      <c r="G596" s="546" t="s">
        <v>221</v>
      </c>
      <c r="H596" s="303" t="s">
        <v>332</v>
      </c>
      <c r="I596" s="582" t="str">
        <f>VLOOKUP(H596,'9a-Typen vloeren'!$A$10:$B$40,2,FALSE)</f>
        <v>Sproei/extraheren</v>
      </c>
      <c r="J596" s="590">
        <v>55.9</v>
      </c>
      <c r="K596" s="433">
        <f t="shared" si="45"/>
        <v>0</v>
      </c>
      <c r="L596" s="433">
        <f t="shared" si="46"/>
        <v>0</v>
      </c>
      <c r="M596" s="433">
        <f t="shared" si="47"/>
        <v>55.9</v>
      </c>
      <c r="N596" s="672"/>
      <c r="O596" s="729">
        <f>IF(N596="",0,N596*K596/'9b-Vloeronderhoud'!$F$4)</f>
        <v>0</v>
      </c>
      <c r="P596" s="672"/>
      <c r="Q596" s="729" t="e">
        <f>IF(O596="",0,P596*L596/'9b-Vloeronderhoud'!$F$6)</f>
        <v>#DIV/0!</v>
      </c>
      <c r="R596" s="449">
        <v>1</v>
      </c>
      <c r="S596" s="672">
        <v>80</v>
      </c>
      <c r="T596" s="161" t="e">
        <f t="shared" si="48"/>
        <v>#DIV/0!</v>
      </c>
      <c r="U596" s="162">
        <f>IF(S596="nio",0,IF(S596&gt;0,VLOOKUP(G596,'3-Productie normen'!A:K,VLOOKUP(S596,'3-Productie normen'!L:N,3,FALSE),FALSE)))</f>
        <v>0</v>
      </c>
      <c r="V596" s="162">
        <f>VLOOKUP(G596,'3-Productie normen'!A:K,10,FALSE)</f>
        <v>16013.110036668773</v>
      </c>
      <c r="W596" s="163">
        <f>VLOOKUP(G596,'3-Productie normen'!A:K,11,FALSE)</f>
        <v>0</v>
      </c>
      <c r="X596" s="163"/>
      <c r="Z596" s="129">
        <f t="shared" si="49"/>
        <v>4472</v>
      </c>
    </row>
    <row r="597" spans="1:26" ht="14.1" customHeight="1">
      <c r="A597" s="144">
        <v>603</v>
      </c>
      <c r="B597" s="485" t="s">
        <v>238</v>
      </c>
      <c r="C597" s="159" t="s">
        <v>603</v>
      </c>
      <c r="D597" s="132">
        <v>1</v>
      </c>
      <c r="E597" s="702" t="s">
        <v>369</v>
      </c>
      <c r="F597" s="519" t="s">
        <v>267</v>
      </c>
      <c r="G597" s="524" t="s">
        <v>18</v>
      </c>
      <c r="H597" s="303" t="s">
        <v>955</v>
      </c>
      <c r="I597" s="582" t="str">
        <f>VLOOKUP(H597,'9a-Typen vloeren'!$A$10:$B$40,2,FALSE)</f>
        <v>zie kwaliteitsontwerp</v>
      </c>
      <c r="J597" s="590">
        <v>7.4</v>
      </c>
      <c r="K597" s="433">
        <f t="shared" si="45"/>
        <v>0</v>
      </c>
      <c r="L597" s="433">
        <f t="shared" si="46"/>
        <v>0</v>
      </c>
      <c r="M597" s="433">
        <f t="shared" si="47"/>
        <v>0</v>
      </c>
      <c r="N597" s="672"/>
      <c r="O597" s="729">
        <f>IF(N597="",0,N597*K597/'9b-Vloeronderhoud'!$F$4)</f>
        <v>0</v>
      </c>
      <c r="P597" s="672"/>
      <c r="Q597" s="729" t="e">
        <f>IF(O597="",0,P597*L597/'9b-Vloeronderhoud'!$F$6)</f>
        <v>#DIV/0!</v>
      </c>
      <c r="R597" s="449">
        <v>1</v>
      </c>
      <c r="S597" s="672">
        <v>190</v>
      </c>
      <c r="T597" s="161" t="e">
        <f t="shared" si="48"/>
        <v>#DIV/0!</v>
      </c>
      <c r="U597" s="162">
        <f>IF(S597="nio",0,IF(S597&gt;0,VLOOKUP(G597,'3-Productie normen'!A:K,VLOOKUP(S597,'3-Productie normen'!L:N,3,FALSE),FALSE)))</f>
        <v>0</v>
      </c>
      <c r="V597" s="162">
        <f>VLOOKUP(G597,'3-Productie normen'!A:K,10,FALSE)</f>
        <v>1859.5880019121171</v>
      </c>
      <c r="W597" s="163">
        <f>VLOOKUP(G597,'3-Productie normen'!A:K,11,FALSE)</f>
        <v>0</v>
      </c>
      <c r="X597" s="163"/>
      <c r="Z597" s="129">
        <f t="shared" si="49"/>
        <v>1406</v>
      </c>
    </row>
    <row r="598" spans="1:26" ht="14.1" customHeight="1">
      <c r="A598" s="144">
        <v>604</v>
      </c>
      <c r="B598" s="485" t="s">
        <v>238</v>
      </c>
      <c r="C598" s="159" t="s">
        <v>603</v>
      </c>
      <c r="D598" s="132">
        <v>1</v>
      </c>
      <c r="E598" s="702" t="s">
        <v>370</v>
      </c>
      <c r="F598" s="494" t="s">
        <v>470</v>
      </c>
      <c r="G598" s="303" t="s">
        <v>221</v>
      </c>
      <c r="H598" s="303" t="s">
        <v>332</v>
      </c>
      <c r="I598" s="582" t="str">
        <f>VLOOKUP(H598,'9a-Typen vloeren'!$A$10:$B$40,2,FALSE)</f>
        <v>Sproei/extraheren</v>
      </c>
      <c r="J598" s="590">
        <v>55.9</v>
      </c>
      <c r="K598" s="433">
        <f t="shared" si="45"/>
        <v>0</v>
      </c>
      <c r="L598" s="433">
        <f t="shared" si="46"/>
        <v>0</v>
      </c>
      <c r="M598" s="433">
        <f t="shared" si="47"/>
        <v>55.9</v>
      </c>
      <c r="N598" s="672"/>
      <c r="O598" s="729">
        <f>IF(N598="",0,N598*K598/'9b-Vloeronderhoud'!$F$4)</f>
        <v>0</v>
      </c>
      <c r="P598" s="672"/>
      <c r="Q598" s="729" t="e">
        <f>IF(O598="",0,P598*L598/'9b-Vloeronderhoud'!$F$6)</f>
        <v>#DIV/0!</v>
      </c>
      <c r="R598" s="449">
        <v>1</v>
      </c>
      <c r="S598" s="672">
        <v>80</v>
      </c>
      <c r="T598" s="161" t="e">
        <f t="shared" si="48"/>
        <v>#DIV/0!</v>
      </c>
      <c r="U598" s="162">
        <f>IF(S598="nio",0,IF(S598&gt;0,VLOOKUP(G598,'3-Productie normen'!A:K,VLOOKUP(S598,'3-Productie normen'!L:N,3,FALSE),FALSE)))</f>
        <v>0</v>
      </c>
      <c r="V598" s="162">
        <f>VLOOKUP(G598,'3-Productie normen'!A:K,10,FALSE)</f>
        <v>16013.110036668773</v>
      </c>
      <c r="W598" s="163">
        <f>VLOOKUP(G598,'3-Productie normen'!A:K,11,FALSE)</f>
        <v>0</v>
      </c>
      <c r="X598" s="163"/>
      <c r="Z598" s="129">
        <f t="shared" si="49"/>
        <v>4472</v>
      </c>
    </row>
    <row r="599" spans="1:26" ht="14.1" customHeight="1">
      <c r="A599" s="144">
        <v>605</v>
      </c>
      <c r="B599" s="485" t="s">
        <v>238</v>
      </c>
      <c r="C599" s="159" t="s">
        <v>603</v>
      </c>
      <c r="D599" s="132">
        <v>1</v>
      </c>
      <c r="E599" s="702" t="s">
        <v>371</v>
      </c>
      <c r="F599" s="494" t="s">
        <v>382</v>
      </c>
      <c r="G599" s="460" t="s">
        <v>881</v>
      </c>
      <c r="H599" s="170" t="s">
        <v>333</v>
      </c>
      <c r="I599" s="582" t="str">
        <f>VLOOKUP(H599,'9a-Typen vloeren'!$A$10:$B$40,2,FALSE)</f>
        <v>Schrobben</v>
      </c>
      <c r="J599" s="591">
        <v>7.4</v>
      </c>
      <c r="K599" s="433">
        <f t="shared" si="45"/>
        <v>0</v>
      </c>
      <c r="L599" s="433">
        <f t="shared" si="46"/>
        <v>0</v>
      </c>
      <c r="M599" s="433">
        <f t="shared" si="47"/>
        <v>0</v>
      </c>
      <c r="N599" s="672"/>
      <c r="O599" s="729">
        <f>IF(N599="",0,N599*K599/'9b-Vloeronderhoud'!$F$4)</f>
        <v>0</v>
      </c>
      <c r="P599" s="672"/>
      <c r="Q599" s="729" t="e">
        <f>IF(O599="",0,P599*L599/'9b-Vloeronderhoud'!$F$6)</f>
        <v>#DIV/0!</v>
      </c>
      <c r="R599" s="449">
        <v>1</v>
      </c>
      <c r="S599" s="672" t="s">
        <v>179</v>
      </c>
      <c r="T599" s="161">
        <f t="shared" si="48"/>
        <v>0</v>
      </c>
      <c r="U599" s="162">
        <f>IF(S599="nio",0,IF(S599&gt;0,VLOOKUP(G599,'3-Productie normen'!A:K,VLOOKUP(S599,'3-Productie normen'!L:N,3,FALSE),FALSE)))</f>
        <v>0</v>
      </c>
      <c r="V599" s="162">
        <f>VLOOKUP(G599,'3-Productie normen'!A:K,10,FALSE)</f>
        <v>5262.809993648526</v>
      </c>
      <c r="W599" s="163">
        <f>VLOOKUP(G599,'3-Productie normen'!A:K,11,FALSE)</f>
        <v>0</v>
      </c>
      <c r="X599" s="163"/>
      <c r="Z599" s="129">
        <f t="shared" si="49"/>
        <v>0</v>
      </c>
    </row>
    <row r="600" spans="1:26" ht="14.1" customHeight="1">
      <c r="A600" s="144">
        <v>606</v>
      </c>
      <c r="B600" s="160" t="s">
        <v>238</v>
      </c>
      <c r="C600" s="159" t="s">
        <v>603</v>
      </c>
      <c r="D600" s="132">
        <v>1</v>
      </c>
      <c r="E600" s="702" t="s">
        <v>372</v>
      </c>
      <c r="F600" s="494" t="s">
        <v>470</v>
      </c>
      <c r="G600" s="460" t="s">
        <v>221</v>
      </c>
      <c r="H600" s="303" t="s">
        <v>332</v>
      </c>
      <c r="I600" s="582" t="str">
        <f>VLOOKUP(H600,'9a-Typen vloeren'!$A$10:$B$40,2,FALSE)</f>
        <v>Sproei/extraheren</v>
      </c>
      <c r="J600" s="591">
        <v>55.9</v>
      </c>
      <c r="K600" s="433">
        <f t="shared" si="45"/>
        <v>0</v>
      </c>
      <c r="L600" s="433">
        <f t="shared" si="46"/>
        <v>0</v>
      </c>
      <c r="M600" s="433">
        <f t="shared" si="47"/>
        <v>55.9</v>
      </c>
      <c r="N600" s="672"/>
      <c r="O600" s="729">
        <f>IF(N600="",0,N600*K600/'9b-Vloeronderhoud'!$F$4)</f>
        <v>0</v>
      </c>
      <c r="P600" s="672"/>
      <c r="Q600" s="729" t="e">
        <f>IF(O600="",0,P600*L600/'9b-Vloeronderhoud'!$F$6)</f>
        <v>#DIV/0!</v>
      </c>
      <c r="R600" s="449">
        <v>1</v>
      </c>
      <c r="S600" s="672">
        <v>80</v>
      </c>
      <c r="T600" s="161" t="e">
        <f t="shared" si="48"/>
        <v>#DIV/0!</v>
      </c>
      <c r="U600" s="162">
        <f>IF(S600="nio",0,IF(S600&gt;0,VLOOKUP(G600,'3-Productie normen'!A:K,VLOOKUP(S600,'3-Productie normen'!L:N,3,FALSE),FALSE)))</f>
        <v>0</v>
      </c>
      <c r="V600" s="162">
        <f>VLOOKUP(G600,'3-Productie normen'!A:K,10,FALSE)</f>
        <v>16013.110036668773</v>
      </c>
      <c r="W600" s="163">
        <f>VLOOKUP(G600,'3-Productie normen'!A:K,11,FALSE)</f>
        <v>0</v>
      </c>
      <c r="X600" s="163"/>
      <c r="Z600" s="129">
        <f t="shared" si="49"/>
        <v>4472</v>
      </c>
    </row>
    <row r="601" spans="1:26" ht="14.1" customHeight="1">
      <c r="A601" s="144">
        <v>607</v>
      </c>
      <c r="B601" s="160" t="s">
        <v>238</v>
      </c>
      <c r="C601" s="159" t="s">
        <v>603</v>
      </c>
      <c r="D601" s="132">
        <v>1</v>
      </c>
      <c r="E601" s="702" t="s">
        <v>386</v>
      </c>
      <c r="F601" s="494" t="s">
        <v>267</v>
      </c>
      <c r="G601" s="460" t="s">
        <v>18</v>
      </c>
      <c r="H601" s="303" t="s">
        <v>955</v>
      </c>
      <c r="I601" s="582" t="str">
        <f>VLOOKUP(H601,'9a-Typen vloeren'!$A$10:$B$40,2,FALSE)</f>
        <v>zie kwaliteitsontwerp</v>
      </c>
      <c r="J601" s="591">
        <v>7.4</v>
      </c>
      <c r="K601" s="433">
        <f t="shared" si="45"/>
        <v>0</v>
      </c>
      <c r="L601" s="433">
        <f t="shared" si="46"/>
        <v>0</v>
      </c>
      <c r="M601" s="433">
        <f t="shared" si="47"/>
        <v>0</v>
      </c>
      <c r="N601" s="672"/>
      <c r="O601" s="729">
        <f>IF(N601="",0,N601*K601/'9b-Vloeronderhoud'!$F$4)</f>
        <v>0</v>
      </c>
      <c r="P601" s="672"/>
      <c r="Q601" s="729" t="e">
        <f>IF(O601="",0,P601*L601/'9b-Vloeronderhoud'!$F$6)</f>
        <v>#DIV/0!</v>
      </c>
      <c r="R601" s="449">
        <v>1</v>
      </c>
      <c r="S601" s="672">
        <v>190</v>
      </c>
      <c r="T601" s="161" t="e">
        <f t="shared" si="48"/>
        <v>#DIV/0!</v>
      </c>
      <c r="U601" s="162">
        <f>IF(S601="nio",0,IF(S601&gt;0,VLOOKUP(G601,'3-Productie normen'!A:K,VLOOKUP(S601,'3-Productie normen'!L:N,3,FALSE),FALSE)))</f>
        <v>0</v>
      </c>
      <c r="V601" s="162">
        <f>VLOOKUP(G601,'3-Productie normen'!A:K,10,FALSE)</f>
        <v>1859.5880019121171</v>
      </c>
      <c r="W601" s="163">
        <f>VLOOKUP(G601,'3-Productie normen'!A:K,11,FALSE)</f>
        <v>0</v>
      </c>
      <c r="X601" s="163"/>
      <c r="Z601" s="129">
        <f t="shared" si="49"/>
        <v>1406</v>
      </c>
    </row>
    <row r="602" spans="1:26" ht="14.1" customHeight="1">
      <c r="A602" s="144">
        <v>608</v>
      </c>
      <c r="B602" s="160" t="s">
        <v>238</v>
      </c>
      <c r="C602" s="159" t="s">
        <v>603</v>
      </c>
      <c r="D602" s="132">
        <v>1</v>
      </c>
      <c r="E602" s="702" t="s">
        <v>387</v>
      </c>
      <c r="F602" s="494" t="s">
        <v>851</v>
      </c>
      <c r="G602" s="4" t="s">
        <v>221</v>
      </c>
      <c r="H602" s="303" t="s">
        <v>332</v>
      </c>
      <c r="I602" s="582" t="str">
        <f>VLOOKUP(H602,'9a-Typen vloeren'!$A$10:$B$40,2,FALSE)</f>
        <v>Sproei/extraheren</v>
      </c>
      <c r="J602" s="591">
        <v>25.1</v>
      </c>
      <c r="K602" s="433">
        <f t="shared" si="45"/>
        <v>0</v>
      </c>
      <c r="L602" s="433">
        <f t="shared" si="46"/>
        <v>0</v>
      </c>
      <c r="M602" s="433">
        <f t="shared" si="47"/>
        <v>25.1</v>
      </c>
      <c r="N602" s="672"/>
      <c r="O602" s="729">
        <f>IF(N602="",0,N602*K602/'9b-Vloeronderhoud'!$F$4)</f>
        <v>0</v>
      </c>
      <c r="P602" s="672"/>
      <c r="Q602" s="729" t="e">
        <f>IF(O602="",0,P602*L602/'9b-Vloeronderhoud'!$F$6)</f>
        <v>#DIV/0!</v>
      </c>
      <c r="R602" s="449">
        <v>1</v>
      </c>
      <c r="S602" s="672">
        <v>80</v>
      </c>
      <c r="T602" s="161" t="e">
        <f t="shared" si="48"/>
        <v>#DIV/0!</v>
      </c>
      <c r="U602" s="162">
        <f>IF(S602="nio",0,IF(S602&gt;0,VLOOKUP(G602,'3-Productie normen'!A:K,VLOOKUP(S602,'3-Productie normen'!L:N,3,FALSE),FALSE)))</f>
        <v>0</v>
      </c>
      <c r="V602" s="162">
        <f>VLOOKUP(G602,'3-Productie normen'!A:K,10,FALSE)</f>
        <v>16013.110036668773</v>
      </c>
      <c r="W602" s="163">
        <f>VLOOKUP(G602,'3-Productie normen'!A:K,11,FALSE)</f>
        <v>0</v>
      </c>
      <c r="X602" s="163"/>
      <c r="Z602" s="129">
        <f t="shared" si="49"/>
        <v>2008</v>
      </c>
    </row>
    <row r="603" spans="1:26" ht="14.1" customHeight="1">
      <c r="A603" s="144">
        <v>609</v>
      </c>
      <c r="B603" s="160" t="s">
        <v>238</v>
      </c>
      <c r="C603" s="159" t="s">
        <v>603</v>
      </c>
      <c r="D603" s="132">
        <v>1</v>
      </c>
      <c r="E603" s="702" t="s">
        <v>388</v>
      </c>
      <c r="F603" s="494" t="s">
        <v>404</v>
      </c>
      <c r="G603" s="122" t="s">
        <v>286</v>
      </c>
      <c r="H603" s="523" t="s">
        <v>333</v>
      </c>
      <c r="I603" s="582" t="str">
        <f>VLOOKUP(H603,'9a-Typen vloeren'!$A$10:$B$40,2,FALSE)</f>
        <v>Schrobben</v>
      </c>
      <c r="J603" s="591">
        <v>130.69999999999999</v>
      </c>
      <c r="K603" s="433">
        <f t="shared" si="45"/>
        <v>0</v>
      </c>
      <c r="L603" s="433">
        <f t="shared" si="46"/>
        <v>130.69999999999999</v>
      </c>
      <c r="M603" s="433">
        <f t="shared" si="47"/>
        <v>0</v>
      </c>
      <c r="N603" s="672"/>
      <c r="O603" s="729">
        <f>IF(N603="",0,N603*K603/'9b-Vloeronderhoud'!$F$4)</f>
        <v>0</v>
      </c>
      <c r="P603" s="672">
        <v>3</v>
      </c>
      <c r="Q603" s="729" t="e">
        <f>IF(O603="",0,P603*L603/'9b-Vloeronderhoud'!$F$6)</f>
        <v>#DIV/0!</v>
      </c>
      <c r="R603" s="449">
        <v>1</v>
      </c>
      <c r="S603" s="672">
        <v>120</v>
      </c>
      <c r="T603" s="161" t="e">
        <f t="shared" si="48"/>
        <v>#DIV/0!</v>
      </c>
      <c r="U603" s="162">
        <f>IF(S603="nio",0,IF(S603&gt;0,VLOOKUP(G603,'3-Productie normen'!A:K,VLOOKUP(S603,'3-Productie normen'!L:N,3,FALSE),FALSE)))</f>
        <v>0</v>
      </c>
      <c r="V603" s="162">
        <f>VLOOKUP(G603,'3-Productie normen'!A:K,10,FALSE)</f>
        <v>6152.9500017547598</v>
      </c>
      <c r="W603" s="163">
        <f>VLOOKUP(G603,'3-Productie normen'!A:K,11,FALSE)</f>
        <v>0</v>
      </c>
      <c r="X603" s="163"/>
      <c r="Z603" s="129">
        <f t="shared" si="49"/>
        <v>15683.999999999998</v>
      </c>
    </row>
    <row r="604" spans="1:26" ht="14.1" customHeight="1">
      <c r="A604" s="144">
        <v>610</v>
      </c>
      <c r="B604" s="160" t="s">
        <v>929</v>
      </c>
      <c r="C604" s="160" t="s">
        <v>488</v>
      </c>
      <c r="D604" s="493" t="s">
        <v>98</v>
      </c>
      <c r="E604" s="712" t="s">
        <v>294</v>
      </c>
      <c r="F604" s="492" t="s">
        <v>99</v>
      </c>
      <c r="G604" s="460" t="s">
        <v>99</v>
      </c>
      <c r="H604" s="303" t="s">
        <v>332</v>
      </c>
      <c r="I604" s="582" t="str">
        <f>VLOOKUP(H604,'9a-Typen vloeren'!$A$10:$B$40,2,FALSE)</f>
        <v>Sproei/extraheren</v>
      </c>
      <c r="J604" s="591">
        <v>4.0999999046325684</v>
      </c>
      <c r="K604" s="433">
        <f t="shared" si="45"/>
        <v>0</v>
      </c>
      <c r="L604" s="433">
        <f t="shared" si="46"/>
        <v>0</v>
      </c>
      <c r="M604" s="433">
        <f t="shared" si="47"/>
        <v>4.0999999046325684</v>
      </c>
      <c r="N604" s="672"/>
      <c r="O604" s="729">
        <f>IF(N604="",0,N604*K604/'9b-Vloeronderhoud'!$F$4)</f>
        <v>0</v>
      </c>
      <c r="P604" s="672"/>
      <c r="Q604" s="729" t="e">
        <f>IF(O604="",0,P604*L604/'9b-Vloeronderhoud'!$F$6)</f>
        <v>#DIV/0!</v>
      </c>
      <c r="R604" s="449">
        <v>1</v>
      </c>
      <c r="S604" s="672">
        <v>190</v>
      </c>
      <c r="T604" s="161" t="e">
        <f t="shared" si="48"/>
        <v>#DIV/0!</v>
      </c>
      <c r="U604" s="162">
        <f>IF(S604="nio",0,IF(S604&gt;0,VLOOKUP(G604,'3-Productie normen'!A:K,VLOOKUP(S604,'3-Productie normen'!L:N,3,FALSE),FALSE)))</f>
        <v>0</v>
      </c>
      <c r="V604" s="162">
        <f>VLOOKUP(G604,'3-Productie normen'!A:K,10,FALSE)</f>
        <v>726.97999910354622</v>
      </c>
      <c r="W604" s="163">
        <f>VLOOKUP(G604,'3-Productie normen'!A:K,11,FALSE)</f>
        <v>0</v>
      </c>
      <c r="X604" s="163"/>
      <c r="Z604" s="129">
        <f t="shared" si="49"/>
        <v>778.99998188018799</v>
      </c>
    </row>
    <row r="605" spans="1:26" ht="14.1" customHeight="1">
      <c r="A605" s="144">
        <v>611</v>
      </c>
      <c r="B605" s="160" t="s">
        <v>929</v>
      </c>
      <c r="C605" s="160" t="s">
        <v>488</v>
      </c>
      <c r="D605" s="493" t="s">
        <v>98</v>
      </c>
      <c r="E605" s="712" t="s">
        <v>312</v>
      </c>
      <c r="F605" s="492" t="s">
        <v>283</v>
      </c>
      <c r="G605" s="533" t="s">
        <v>286</v>
      </c>
      <c r="H605" s="556" t="s">
        <v>100</v>
      </c>
      <c r="I605" s="582" t="str">
        <f>VLOOKUP(H605,'9a-Typen vloeren'!$A$10:$B$40,2,FALSE)</f>
        <v>Sprayen/ conserveren</v>
      </c>
      <c r="J605" s="591">
        <v>20.9</v>
      </c>
      <c r="K605" s="433">
        <f t="shared" si="45"/>
        <v>20.9</v>
      </c>
      <c r="L605" s="433">
        <f t="shared" si="46"/>
        <v>0</v>
      </c>
      <c r="M605" s="433">
        <f t="shared" si="47"/>
        <v>0</v>
      </c>
      <c r="N605" s="672">
        <v>2</v>
      </c>
      <c r="O605" s="729" t="e">
        <f>IF(N605="",0,N605*K605/'9b-Vloeronderhoud'!$F$4)</f>
        <v>#DIV/0!</v>
      </c>
      <c r="P605" s="672"/>
      <c r="Q605" s="729" t="e">
        <f>IF(O605="",0,P605*L605/'9b-Vloeronderhoud'!$F$6)</f>
        <v>#DIV/0!</v>
      </c>
      <c r="R605" s="449">
        <v>1</v>
      </c>
      <c r="S605" s="672">
        <v>120</v>
      </c>
      <c r="T605" s="161" t="e">
        <f t="shared" si="48"/>
        <v>#DIV/0!</v>
      </c>
      <c r="U605" s="162">
        <f>IF(S605="nio",0,IF(S605&gt;0,VLOOKUP(G605,'3-Productie normen'!A:K,VLOOKUP(S605,'3-Productie normen'!L:N,3,FALSE),FALSE)))</f>
        <v>0</v>
      </c>
      <c r="V605" s="162">
        <f>VLOOKUP(G605,'3-Productie normen'!A:K,10,FALSE)</f>
        <v>6152.9500017547598</v>
      </c>
      <c r="W605" s="163">
        <f>VLOOKUP(G605,'3-Productie normen'!A:K,11,FALSE)</f>
        <v>0</v>
      </c>
      <c r="X605" s="163"/>
      <c r="Z605" s="129">
        <f t="shared" si="49"/>
        <v>2508</v>
      </c>
    </row>
    <row r="606" spans="1:26" ht="14.1" customHeight="1">
      <c r="A606" s="144">
        <v>612</v>
      </c>
      <c r="B606" s="160" t="s">
        <v>929</v>
      </c>
      <c r="C606" s="160" t="s">
        <v>488</v>
      </c>
      <c r="D606" s="493" t="s">
        <v>98</v>
      </c>
      <c r="E606" s="712" t="s">
        <v>303</v>
      </c>
      <c r="F606" s="492" t="s">
        <v>287</v>
      </c>
      <c r="G606" s="126" t="s">
        <v>287</v>
      </c>
      <c r="H606" s="556" t="s">
        <v>102</v>
      </c>
      <c r="I606" s="582" t="str">
        <f>VLOOKUP(H606,'9a-Typen vloeren'!$A$10:$B$40,2,FALSE)</f>
        <v>n.v.t.</v>
      </c>
      <c r="J606" s="591">
        <v>13.2</v>
      </c>
      <c r="K606" s="433">
        <f t="shared" si="45"/>
        <v>0</v>
      </c>
      <c r="L606" s="433">
        <f t="shared" si="46"/>
        <v>0</v>
      </c>
      <c r="M606" s="433">
        <f t="shared" si="47"/>
        <v>0</v>
      </c>
      <c r="N606" s="672"/>
      <c r="O606" s="729">
        <f>IF(N606="",0,N606*K606/'9b-Vloeronderhoud'!$F$4)</f>
        <v>0</v>
      </c>
      <c r="P606" s="672"/>
      <c r="Q606" s="729" t="e">
        <f>IF(O606="",0,P606*L606/'9b-Vloeronderhoud'!$F$6)</f>
        <v>#DIV/0!</v>
      </c>
      <c r="R606" s="449">
        <v>1</v>
      </c>
      <c r="S606" s="672">
        <v>80</v>
      </c>
      <c r="T606" s="161" t="e">
        <f t="shared" si="48"/>
        <v>#DIV/0!</v>
      </c>
      <c r="U606" s="162">
        <f>IF(S606="nio",0,IF(S606&gt;0,VLOOKUP(G606,'3-Productie normen'!A:K,VLOOKUP(S606,'3-Productie normen'!L:N,3,FALSE),FALSE)))</f>
        <v>0</v>
      </c>
      <c r="V606" s="162">
        <f>VLOOKUP(G606,'3-Productie normen'!A:K,10,FALSE)</f>
        <v>519.460002565384</v>
      </c>
      <c r="W606" s="163">
        <f>VLOOKUP(G606,'3-Productie normen'!A:K,11,FALSE)</f>
        <v>0</v>
      </c>
      <c r="X606" s="163"/>
      <c r="Z606" s="129">
        <f t="shared" si="49"/>
        <v>1056</v>
      </c>
    </row>
    <row r="607" spans="1:26" ht="14.1" customHeight="1">
      <c r="A607" s="144">
        <v>613</v>
      </c>
      <c r="B607" s="160" t="s">
        <v>929</v>
      </c>
      <c r="C607" s="160" t="s">
        <v>488</v>
      </c>
      <c r="D607" s="493" t="s">
        <v>98</v>
      </c>
      <c r="E607" s="712" t="s">
        <v>510</v>
      </c>
      <c r="F607" s="492" t="s">
        <v>475</v>
      </c>
      <c r="G607" s="460" t="s">
        <v>881</v>
      </c>
      <c r="H607" s="504" t="s">
        <v>375</v>
      </c>
      <c r="I607" s="582" t="str">
        <f>VLOOKUP(H607,'9a-Typen vloeren'!$A$10:$B$40,2,FALSE)</f>
        <v>n.v.t.</v>
      </c>
      <c r="J607" s="591">
        <v>4.8</v>
      </c>
      <c r="K607" s="433">
        <f t="shared" si="45"/>
        <v>0</v>
      </c>
      <c r="L607" s="433">
        <f t="shared" si="46"/>
        <v>0</v>
      </c>
      <c r="M607" s="433">
        <f t="shared" si="47"/>
        <v>0</v>
      </c>
      <c r="N607" s="672"/>
      <c r="O607" s="729">
        <f>IF(N607="",0,N607*K607/'9b-Vloeronderhoud'!$F$4)</f>
        <v>0</v>
      </c>
      <c r="P607" s="672"/>
      <c r="Q607" s="729" t="e">
        <f>IF(O607="",0,P607*L607/'9b-Vloeronderhoud'!$F$6)</f>
        <v>#DIV/0!</v>
      </c>
      <c r="R607" s="449">
        <v>1</v>
      </c>
      <c r="S607" s="672" t="s">
        <v>179</v>
      </c>
      <c r="T607" s="161">
        <f t="shared" si="48"/>
        <v>0</v>
      </c>
      <c r="U607" s="162">
        <f>IF(S607="nio",0,IF(S607&gt;0,VLOOKUP(G607,'3-Productie normen'!A:K,VLOOKUP(S607,'3-Productie normen'!L:N,3,FALSE),FALSE)))</f>
        <v>0</v>
      </c>
      <c r="V607" s="162">
        <f>VLOOKUP(G607,'3-Productie normen'!A:K,10,FALSE)</f>
        <v>5262.809993648526</v>
      </c>
      <c r="W607" s="163">
        <f>VLOOKUP(G607,'3-Productie normen'!A:K,11,FALSE)</f>
        <v>0</v>
      </c>
      <c r="X607" s="163"/>
      <c r="Z607" s="129">
        <f t="shared" si="49"/>
        <v>0</v>
      </c>
    </row>
    <row r="608" spans="1:26" ht="14.1" customHeight="1">
      <c r="A608" s="144">
        <v>614</v>
      </c>
      <c r="B608" s="160" t="s">
        <v>929</v>
      </c>
      <c r="C608" s="160" t="s">
        <v>488</v>
      </c>
      <c r="D608" s="493" t="s">
        <v>98</v>
      </c>
      <c r="E608" s="712" t="s">
        <v>511</v>
      </c>
      <c r="F608" s="492" t="s">
        <v>288</v>
      </c>
      <c r="G608" s="460" t="s">
        <v>862</v>
      </c>
      <c r="H608" s="556" t="s">
        <v>100</v>
      </c>
      <c r="I608" s="582" t="str">
        <f>VLOOKUP(H608,'9a-Typen vloeren'!$A$10:$B$40,2,FALSE)</f>
        <v>Sprayen/ conserveren</v>
      </c>
      <c r="J608" s="591">
        <v>180</v>
      </c>
      <c r="K608" s="433">
        <f t="shared" si="45"/>
        <v>180</v>
      </c>
      <c r="L608" s="433">
        <f t="shared" si="46"/>
        <v>0</v>
      </c>
      <c r="M608" s="433">
        <f t="shared" si="47"/>
        <v>0</v>
      </c>
      <c r="N608" s="672">
        <v>2</v>
      </c>
      <c r="O608" s="729" t="e">
        <f>IF(N608="",0,N608*K608/'9b-Vloeronderhoud'!$F$4)</f>
        <v>#DIV/0!</v>
      </c>
      <c r="P608" s="672"/>
      <c r="Q608" s="729" t="e">
        <f>IF(O608="",0,P608*L608/'9b-Vloeronderhoud'!$F$6)</f>
        <v>#DIV/0!</v>
      </c>
      <c r="R608" s="449">
        <v>1</v>
      </c>
      <c r="S608" s="672">
        <v>120</v>
      </c>
      <c r="T608" s="161" t="e">
        <f t="shared" si="48"/>
        <v>#DIV/0!</v>
      </c>
      <c r="U608" s="162">
        <f>IF(S608="nio",0,IF(S608&gt;0,VLOOKUP(G608,'3-Productie normen'!A:K,VLOOKUP(S608,'3-Productie normen'!L:N,3,FALSE),FALSE)))</f>
        <v>0</v>
      </c>
      <c r="V608" s="162">
        <f>VLOOKUP(G608,'3-Productie normen'!A:K,10,FALSE)</f>
        <v>4374.9900215911857</v>
      </c>
      <c r="W608" s="163">
        <f>VLOOKUP(G608,'3-Productie normen'!A:K,11,FALSE)</f>
        <v>0</v>
      </c>
      <c r="X608" s="163"/>
      <c r="Z608" s="129">
        <f t="shared" si="49"/>
        <v>21600</v>
      </c>
    </row>
    <row r="609" spans="1:26" ht="14.1" customHeight="1">
      <c r="A609" s="144">
        <v>615</v>
      </c>
      <c r="B609" s="160" t="s">
        <v>929</v>
      </c>
      <c r="C609" s="160" t="s">
        <v>488</v>
      </c>
      <c r="D609" s="493" t="s">
        <v>98</v>
      </c>
      <c r="E609" s="712" t="s">
        <v>512</v>
      </c>
      <c r="F609" s="492" t="s">
        <v>413</v>
      </c>
      <c r="G609" s="460" t="s">
        <v>189</v>
      </c>
      <c r="H609" s="556" t="s">
        <v>100</v>
      </c>
      <c r="I609" s="582" t="str">
        <f>VLOOKUP(H609,'9a-Typen vloeren'!$A$10:$B$40,2,FALSE)</f>
        <v>Sprayen/ conserveren</v>
      </c>
      <c r="J609" s="591">
        <v>9.6999998092651367</v>
      </c>
      <c r="K609" s="433">
        <f t="shared" si="45"/>
        <v>9.6999998092651367</v>
      </c>
      <c r="L609" s="433">
        <f t="shared" si="46"/>
        <v>0</v>
      </c>
      <c r="M609" s="433">
        <f t="shared" si="47"/>
        <v>0</v>
      </c>
      <c r="N609" s="672"/>
      <c r="O609" s="729">
        <f>IF(N609="",0,N609*K609/'9b-Vloeronderhoud'!$F$4)</f>
        <v>0</v>
      </c>
      <c r="P609" s="672"/>
      <c r="Q609" s="729" t="e">
        <f>IF(O609="",0,P609*L609/'9b-Vloeronderhoud'!$F$6)</f>
        <v>#DIV/0!</v>
      </c>
      <c r="R609" s="449">
        <v>1</v>
      </c>
      <c r="S609" s="672">
        <v>40</v>
      </c>
      <c r="T609" s="161" t="e">
        <f t="shared" si="48"/>
        <v>#DIV/0!</v>
      </c>
      <c r="U609" s="162">
        <f>IF(S609="nio",0,IF(S609&gt;0,VLOOKUP(G609,'3-Productie normen'!A:K,VLOOKUP(S609,'3-Productie normen'!L:N,3,FALSE),FALSE)))</f>
        <v>0</v>
      </c>
      <c r="V609" s="162">
        <f>VLOOKUP(G609,'3-Productie normen'!A:K,10,FALSE)</f>
        <v>1494.1700078582762</v>
      </c>
      <c r="W609" s="163">
        <f>VLOOKUP(G609,'3-Productie normen'!A:K,11,FALSE)</f>
        <v>0</v>
      </c>
      <c r="X609" s="163"/>
      <c r="Z609" s="129">
        <f t="shared" si="49"/>
        <v>387.99999237060547</v>
      </c>
    </row>
    <row r="610" spans="1:26" ht="14.1" customHeight="1">
      <c r="A610" s="144">
        <v>616</v>
      </c>
      <c r="B610" s="160" t="s">
        <v>929</v>
      </c>
      <c r="C610" s="160" t="s">
        <v>488</v>
      </c>
      <c r="D610" s="493" t="s">
        <v>98</v>
      </c>
      <c r="E610" s="712" t="s">
        <v>513</v>
      </c>
      <c r="F610" s="492" t="s">
        <v>304</v>
      </c>
      <c r="G610" s="303" t="s">
        <v>18</v>
      </c>
      <c r="H610" s="534" t="s">
        <v>954</v>
      </c>
      <c r="I610" s="582" t="str">
        <f>VLOOKUP(H610,'9a-Typen vloeren'!$A$10:$B$40,2,FALSE)</f>
        <v>zie kwaliteitsontwerp</v>
      </c>
      <c r="J610" s="592">
        <v>4.5999999046325684</v>
      </c>
      <c r="K610" s="433">
        <f t="shared" si="45"/>
        <v>0</v>
      </c>
      <c r="L610" s="433">
        <f t="shared" si="46"/>
        <v>0</v>
      </c>
      <c r="M610" s="433">
        <f t="shared" si="47"/>
        <v>0</v>
      </c>
      <c r="N610" s="672"/>
      <c r="O610" s="729">
        <f>IF(N610="",0,N610*K610/'9b-Vloeronderhoud'!$F$4)</f>
        <v>0</v>
      </c>
      <c r="P610" s="672"/>
      <c r="Q610" s="729" t="e">
        <f>IF(O610="",0,P610*L610/'9b-Vloeronderhoud'!$F$6)</f>
        <v>#DIV/0!</v>
      </c>
      <c r="R610" s="449">
        <v>1</v>
      </c>
      <c r="S610" s="672">
        <v>190</v>
      </c>
      <c r="T610" s="161" t="e">
        <f t="shared" si="48"/>
        <v>#DIV/0!</v>
      </c>
      <c r="U610" s="162">
        <f>IF(S610="nio",0,IF(S610&gt;0,VLOOKUP(G610,'3-Productie normen'!A:K,VLOOKUP(S610,'3-Productie normen'!L:N,3,FALSE),FALSE)))</f>
        <v>0</v>
      </c>
      <c r="V610" s="162">
        <f>VLOOKUP(G610,'3-Productie normen'!A:K,10,FALSE)</f>
        <v>1859.5880019121171</v>
      </c>
      <c r="W610" s="163">
        <f>VLOOKUP(G610,'3-Productie normen'!A:K,11,FALSE)</f>
        <v>0</v>
      </c>
      <c r="X610" s="163"/>
      <c r="Z610" s="129">
        <f t="shared" si="49"/>
        <v>873.99998188018799</v>
      </c>
    </row>
    <row r="611" spans="1:26" ht="14.1" customHeight="1">
      <c r="A611" s="144">
        <v>617</v>
      </c>
      <c r="B611" s="160" t="s">
        <v>929</v>
      </c>
      <c r="C611" s="160" t="s">
        <v>488</v>
      </c>
      <c r="D611" s="493" t="s">
        <v>98</v>
      </c>
      <c r="E611" s="712" t="s">
        <v>479</v>
      </c>
      <c r="F611" s="492" t="s">
        <v>283</v>
      </c>
      <c r="G611" s="460" t="s">
        <v>286</v>
      </c>
      <c r="H611" s="169" t="s">
        <v>100</v>
      </c>
      <c r="I611" s="582" t="str">
        <f>VLOOKUP(H611,'9a-Typen vloeren'!$A$10:$B$40,2,FALSE)</f>
        <v>Sprayen/ conserveren</v>
      </c>
      <c r="J611" s="590">
        <v>29.6</v>
      </c>
      <c r="K611" s="433">
        <f t="shared" si="45"/>
        <v>29.6</v>
      </c>
      <c r="L611" s="433">
        <f t="shared" si="46"/>
        <v>0</v>
      </c>
      <c r="M611" s="433">
        <f t="shared" si="47"/>
        <v>0</v>
      </c>
      <c r="N611" s="672">
        <v>2</v>
      </c>
      <c r="O611" s="729" t="e">
        <f>IF(N611="",0,N611*K611/'9b-Vloeronderhoud'!$F$4)</f>
        <v>#DIV/0!</v>
      </c>
      <c r="P611" s="672"/>
      <c r="Q611" s="729" t="e">
        <f>IF(O611="",0,P611*L611/'9b-Vloeronderhoud'!$F$6)</f>
        <v>#DIV/0!</v>
      </c>
      <c r="R611" s="449">
        <v>1</v>
      </c>
      <c r="S611" s="672">
        <v>120</v>
      </c>
      <c r="T611" s="161" t="e">
        <f t="shared" si="48"/>
        <v>#DIV/0!</v>
      </c>
      <c r="U611" s="162">
        <f>IF(S611="nio",0,IF(S611&gt;0,VLOOKUP(G611,'3-Productie normen'!A:K,VLOOKUP(S611,'3-Productie normen'!L:N,3,FALSE),FALSE)))</f>
        <v>0</v>
      </c>
      <c r="V611" s="162">
        <f>VLOOKUP(G611,'3-Productie normen'!A:K,10,FALSE)</f>
        <v>6152.9500017547598</v>
      </c>
      <c r="W611" s="163">
        <f>VLOOKUP(G611,'3-Productie normen'!A:K,11,FALSE)</f>
        <v>0</v>
      </c>
      <c r="X611" s="163"/>
      <c r="Z611" s="129">
        <f t="shared" si="49"/>
        <v>3552</v>
      </c>
    </row>
    <row r="612" spans="1:26" ht="14.1" customHeight="1">
      <c r="A612" s="144">
        <v>618</v>
      </c>
      <c r="B612" s="160" t="s">
        <v>929</v>
      </c>
      <c r="C612" s="160" t="s">
        <v>488</v>
      </c>
      <c r="D612" s="493" t="s">
        <v>98</v>
      </c>
      <c r="E612" s="712" t="s">
        <v>482</v>
      </c>
      <c r="F612" s="492" t="s">
        <v>99</v>
      </c>
      <c r="G612" s="122" t="s">
        <v>99</v>
      </c>
      <c r="H612" s="303" t="s">
        <v>332</v>
      </c>
      <c r="I612" s="582" t="str">
        <f>VLOOKUP(H612,'9a-Typen vloeren'!$A$10:$B$40,2,FALSE)</f>
        <v>Sproei/extraheren</v>
      </c>
      <c r="J612" s="590">
        <v>4.8</v>
      </c>
      <c r="K612" s="433">
        <f t="shared" si="45"/>
        <v>0</v>
      </c>
      <c r="L612" s="433">
        <f t="shared" si="46"/>
        <v>0</v>
      </c>
      <c r="M612" s="433">
        <f t="shared" si="47"/>
        <v>4.8</v>
      </c>
      <c r="N612" s="672"/>
      <c r="O612" s="729">
        <f>IF(N612="",0,N612*K612/'9b-Vloeronderhoud'!$F$4)</f>
        <v>0</v>
      </c>
      <c r="P612" s="672"/>
      <c r="Q612" s="729" t="e">
        <f>IF(O612="",0,P612*L612/'9b-Vloeronderhoud'!$F$6)</f>
        <v>#DIV/0!</v>
      </c>
      <c r="R612" s="449">
        <v>1</v>
      </c>
      <c r="S612" s="672">
        <v>190</v>
      </c>
      <c r="T612" s="161" t="e">
        <f t="shared" si="48"/>
        <v>#DIV/0!</v>
      </c>
      <c r="U612" s="162">
        <f>IF(S612="nio",0,IF(S612&gt;0,VLOOKUP(G612,'3-Productie normen'!A:K,VLOOKUP(S612,'3-Productie normen'!L:N,3,FALSE),FALSE)))</f>
        <v>0</v>
      </c>
      <c r="V612" s="162">
        <f>VLOOKUP(G612,'3-Productie normen'!A:K,10,FALSE)</f>
        <v>726.97999910354622</v>
      </c>
      <c r="W612" s="163">
        <f>VLOOKUP(G612,'3-Productie normen'!A:K,11,FALSE)</f>
        <v>0</v>
      </c>
      <c r="X612" s="163"/>
      <c r="Z612" s="129">
        <f t="shared" si="49"/>
        <v>912</v>
      </c>
    </row>
    <row r="613" spans="1:26" ht="14.1" customHeight="1">
      <c r="A613" s="144">
        <v>619</v>
      </c>
      <c r="B613" s="160" t="s">
        <v>929</v>
      </c>
      <c r="C613" s="160" t="s">
        <v>488</v>
      </c>
      <c r="D613" s="493" t="s">
        <v>98</v>
      </c>
      <c r="E613" s="712" t="s">
        <v>329</v>
      </c>
      <c r="F613" s="492" t="s">
        <v>281</v>
      </c>
      <c r="G613" s="460" t="s">
        <v>881</v>
      </c>
      <c r="H613" s="169" t="s">
        <v>375</v>
      </c>
      <c r="I613" s="582" t="str">
        <f>VLOOKUP(H613,'9a-Typen vloeren'!$A$10:$B$40,2,FALSE)</f>
        <v>n.v.t.</v>
      </c>
      <c r="J613" s="590">
        <v>3.2</v>
      </c>
      <c r="K613" s="433">
        <f t="shared" si="45"/>
        <v>0</v>
      </c>
      <c r="L613" s="433">
        <f t="shared" si="46"/>
        <v>0</v>
      </c>
      <c r="M613" s="433">
        <f t="shared" si="47"/>
        <v>0</v>
      </c>
      <c r="N613" s="672"/>
      <c r="O613" s="729">
        <f>IF(N613="",0,N613*K613/'9b-Vloeronderhoud'!$F$4)</f>
        <v>0</v>
      </c>
      <c r="P613" s="672"/>
      <c r="Q613" s="729" t="e">
        <f>IF(O613="",0,P613*L613/'9b-Vloeronderhoud'!$F$6)</f>
        <v>#DIV/0!</v>
      </c>
      <c r="R613" s="449">
        <v>1</v>
      </c>
      <c r="S613" s="672" t="s">
        <v>179</v>
      </c>
      <c r="T613" s="161">
        <f t="shared" si="48"/>
        <v>0</v>
      </c>
      <c r="U613" s="162">
        <f>IF(S613="nio",0,IF(S613&gt;0,VLOOKUP(G613,'3-Productie normen'!A:K,VLOOKUP(S613,'3-Productie normen'!L:N,3,FALSE),FALSE)))</f>
        <v>0</v>
      </c>
      <c r="V613" s="162">
        <f>VLOOKUP(G613,'3-Productie normen'!A:K,10,FALSE)</f>
        <v>5262.809993648526</v>
      </c>
      <c r="W613" s="163">
        <f>VLOOKUP(G613,'3-Productie normen'!A:K,11,FALSE)</f>
        <v>0</v>
      </c>
      <c r="X613" s="163"/>
      <c r="Z613" s="129">
        <f t="shared" si="49"/>
        <v>0</v>
      </c>
    </row>
    <row r="614" spans="1:26" ht="14.1" customHeight="1">
      <c r="A614" s="144">
        <v>620</v>
      </c>
      <c r="B614" s="160" t="s">
        <v>929</v>
      </c>
      <c r="C614" s="160" t="s">
        <v>488</v>
      </c>
      <c r="D614" s="493" t="s">
        <v>98</v>
      </c>
      <c r="E614" s="712" t="s">
        <v>509</v>
      </c>
      <c r="F614" s="492" t="s">
        <v>341</v>
      </c>
      <c r="G614" s="4" t="s">
        <v>190</v>
      </c>
      <c r="H614" s="169" t="s">
        <v>101</v>
      </c>
      <c r="I614" s="582" t="str">
        <f>VLOOKUP(H614,'9a-Typen vloeren'!$A$10:$B$40,2,FALSE)</f>
        <v>Schrobben</v>
      </c>
      <c r="J614" s="590">
        <v>23.200000762939453</v>
      </c>
      <c r="K614" s="433">
        <f t="shared" si="45"/>
        <v>0</v>
      </c>
      <c r="L614" s="433">
        <f t="shared" si="46"/>
        <v>23.200000762939453</v>
      </c>
      <c r="M614" s="433">
        <f t="shared" si="47"/>
        <v>0</v>
      </c>
      <c r="N614" s="672"/>
      <c r="O614" s="729">
        <f>IF(N614="",0,N614*K614/'9b-Vloeronderhoud'!$F$4)</f>
        <v>0</v>
      </c>
      <c r="P614" s="672">
        <v>3</v>
      </c>
      <c r="Q614" s="729" t="e">
        <f>IF(O614="",0,P614*L614/'9b-Vloeronderhoud'!$F$6)</f>
        <v>#DIV/0!</v>
      </c>
      <c r="R614" s="449">
        <v>1</v>
      </c>
      <c r="S614" s="672">
        <v>40</v>
      </c>
      <c r="T614" s="161" t="e">
        <f t="shared" si="48"/>
        <v>#DIV/0!</v>
      </c>
      <c r="U614" s="162">
        <f>IF(S614="nio",0,IF(S614&gt;0,VLOOKUP(G614,'3-Productie normen'!A:K,VLOOKUP(S614,'3-Productie normen'!L:N,3,FALSE),FALSE)))</f>
        <v>0</v>
      </c>
      <c r="V614" s="162">
        <f>VLOOKUP(G614,'3-Productie normen'!A:K,10,FALSE)</f>
        <v>281.65000052452086</v>
      </c>
      <c r="W614" s="163">
        <f>VLOOKUP(G614,'3-Productie normen'!A:K,11,FALSE)</f>
        <v>0</v>
      </c>
      <c r="X614" s="163"/>
      <c r="Z614" s="129">
        <f t="shared" si="49"/>
        <v>928.00003051757813</v>
      </c>
    </row>
    <row r="615" spans="1:26" ht="14.1" customHeight="1">
      <c r="A615" s="144">
        <v>621</v>
      </c>
      <c r="B615" s="160" t="s">
        <v>929</v>
      </c>
      <c r="C615" s="160" t="s">
        <v>488</v>
      </c>
      <c r="D615" s="493" t="s">
        <v>98</v>
      </c>
      <c r="E615" s="712" t="s">
        <v>320</v>
      </c>
      <c r="F615" s="492" t="s">
        <v>283</v>
      </c>
      <c r="G615" s="460" t="s">
        <v>286</v>
      </c>
      <c r="H615" s="169" t="s">
        <v>100</v>
      </c>
      <c r="I615" s="582" t="str">
        <f>VLOOKUP(H615,'9a-Typen vloeren'!$A$10:$B$40,2,FALSE)</f>
        <v>Sprayen/ conserveren</v>
      </c>
      <c r="J615" s="590">
        <v>27.399999618530273</v>
      </c>
      <c r="K615" s="433">
        <f t="shared" si="45"/>
        <v>27.399999618530273</v>
      </c>
      <c r="L615" s="433">
        <f t="shared" si="46"/>
        <v>0</v>
      </c>
      <c r="M615" s="433">
        <f t="shared" si="47"/>
        <v>0</v>
      </c>
      <c r="N615" s="672">
        <v>2</v>
      </c>
      <c r="O615" s="729" t="e">
        <f>IF(N615="",0,N615*K615/'9b-Vloeronderhoud'!$F$4)</f>
        <v>#DIV/0!</v>
      </c>
      <c r="P615" s="672"/>
      <c r="Q615" s="729" t="e">
        <f>IF(O615="",0,P615*L615/'9b-Vloeronderhoud'!$F$6)</f>
        <v>#DIV/0!</v>
      </c>
      <c r="R615" s="449">
        <v>1</v>
      </c>
      <c r="S615" s="672">
        <v>120</v>
      </c>
      <c r="T615" s="161" t="e">
        <f t="shared" si="48"/>
        <v>#DIV/0!</v>
      </c>
      <c r="U615" s="162">
        <f>IF(S615="nio",0,IF(S615&gt;0,VLOOKUP(G615,'3-Productie normen'!A:K,VLOOKUP(S615,'3-Productie normen'!L:N,3,FALSE),FALSE)))</f>
        <v>0</v>
      </c>
      <c r="V615" s="162">
        <f>VLOOKUP(G615,'3-Productie normen'!A:K,10,FALSE)</f>
        <v>6152.9500017547598</v>
      </c>
      <c r="W615" s="163">
        <f>VLOOKUP(G615,'3-Productie normen'!A:K,11,FALSE)</f>
        <v>0</v>
      </c>
      <c r="X615" s="163"/>
      <c r="Z615" s="129">
        <f t="shared" si="49"/>
        <v>3287.9999542236328</v>
      </c>
    </row>
    <row r="616" spans="1:26" ht="14.1" customHeight="1">
      <c r="A616" s="144">
        <v>622</v>
      </c>
      <c r="B616" s="160" t="s">
        <v>929</v>
      </c>
      <c r="C616" s="160" t="s">
        <v>488</v>
      </c>
      <c r="D616" s="493" t="s">
        <v>98</v>
      </c>
      <c r="E616" s="712" t="s">
        <v>312</v>
      </c>
      <c r="F616" s="492" t="s">
        <v>506</v>
      </c>
      <c r="G616" s="460" t="s">
        <v>18</v>
      </c>
      <c r="H616" s="534" t="s">
        <v>954</v>
      </c>
      <c r="I616" s="582" t="str">
        <f>VLOOKUP(H616,'9a-Typen vloeren'!$A$10:$B$40,2,FALSE)</f>
        <v>zie kwaliteitsontwerp</v>
      </c>
      <c r="J616" s="590">
        <v>8.5</v>
      </c>
      <c r="K616" s="433">
        <f t="shared" si="45"/>
        <v>0</v>
      </c>
      <c r="L616" s="433">
        <f t="shared" si="46"/>
        <v>0</v>
      </c>
      <c r="M616" s="433">
        <f t="shared" si="47"/>
        <v>0</v>
      </c>
      <c r="N616" s="672"/>
      <c r="O616" s="729">
        <f>IF(N616="",0,N616*K616/'9b-Vloeronderhoud'!$F$4)</f>
        <v>0</v>
      </c>
      <c r="P616" s="672"/>
      <c r="Q616" s="729" t="e">
        <f>IF(O616="",0,P616*L616/'9b-Vloeronderhoud'!$F$6)</f>
        <v>#DIV/0!</v>
      </c>
      <c r="R616" s="449">
        <v>1</v>
      </c>
      <c r="S616" s="672">
        <v>190</v>
      </c>
      <c r="T616" s="161" t="e">
        <f t="shared" si="48"/>
        <v>#DIV/0!</v>
      </c>
      <c r="U616" s="162">
        <f>IF(S616="nio",0,IF(S616&gt;0,VLOOKUP(G616,'3-Productie normen'!A:K,VLOOKUP(S616,'3-Productie normen'!L:N,3,FALSE),FALSE)))</f>
        <v>0</v>
      </c>
      <c r="V616" s="162">
        <f>VLOOKUP(G616,'3-Productie normen'!A:K,10,FALSE)</f>
        <v>1859.5880019121171</v>
      </c>
      <c r="W616" s="163">
        <f>VLOOKUP(G616,'3-Productie normen'!A:K,11,FALSE)</f>
        <v>0</v>
      </c>
      <c r="X616" s="163"/>
      <c r="Z616" s="129">
        <f t="shared" si="49"/>
        <v>1615</v>
      </c>
    </row>
    <row r="617" spans="1:26" ht="14.1" customHeight="1">
      <c r="A617" s="144">
        <v>623</v>
      </c>
      <c r="B617" s="160" t="s">
        <v>929</v>
      </c>
      <c r="C617" s="160" t="s">
        <v>488</v>
      </c>
      <c r="D617" s="493" t="s">
        <v>98</v>
      </c>
      <c r="E617" s="712" t="s">
        <v>323</v>
      </c>
      <c r="F617" s="492" t="s">
        <v>349</v>
      </c>
      <c r="G617" s="303" t="s">
        <v>480</v>
      </c>
      <c r="H617" s="169" t="s">
        <v>100</v>
      </c>
      <c r="I617" s="582" t="str">
        <f>VLOOKUP(H617,'9a-Typen vloeren'!$A$10:$B$40,2,FALSE)</f>
        <v>Sprayen/ conserveren</v>
      </c>
      <c r="J617" s="590">
        <v>5</v>
      </c>
      <c r="K617" s="433">
        <f t="shared" si="45"/>
        <v>5</v>
      </c>
      <c r="L617" s="433">
        <f t="shared" si="46"/>
        <v>0</v>
      </c>
      <c r="M617" s="433">
        <f t="shared" si="47"/>
        <v>0</v>
      </c>
      <c r="N617" s="672"/>
      <c r="O617" s="729">
        <f>IF(N617="",0,N617*K617/'9b-Vloeronderhoud'!$F$4)</f>
        <v>0</v>
      </c>
      <c r="P617" s="672"/>
      <c r="Q617" s="729" t="e">
        <f>IF(O617="",0,P617*L617/'9b-Vloeronderhoud'!$F$6)</f>
        <v>#DIV/0!</v>
      </c>
      <c r="R617" s="449">
        <v>1</v>
      </c>
      <c r="S617" s="672">
        <v>40</v>
      </c>
      <c r="T617" s="161" t="e">
        <f t="shared" si="48"/>
        <v>#DIV/0!</v>
      </c>
      <c r="U617" s="162">
        <f>IF(S617="nio",0,IF(S617&gt;0,VLOOKUP(G617,'3-Productie normen'!A:K,VLOOKUP(S617,'3-Productie normen'!L:N,3,FALSE),FALSE)))</f>
        <v>0</v>
      </c>
      <c r="V617" s="162">
        <f>VLOOKUP(G617,'3-Productie normen'!A:K,10,FALSE)</f>
        <v>31.690000023841854</v>
      </c>
      <c r="W617" s="163">
        <f>VLOOKUP(G617,'3-Productie normen'!A:K,11,FALSE)</f>
        <v>0</v>
      </c>
      <c r="X617" s="163"/>
      <c r="Z617" s="129">
        <f t="shared" si="49"/>
        <v>200</v>
      </c>
    </row>
    <row r="618" spans="1:26" ht="14.1" customHeight="1">
      <c r="A618" s="144">
        <v>624</v>
      </c>
      <c r="B618" s="160" t="s">
        <v>929</v>
      </c>
      <c r="C618" s="160" t="s">
        <v>488</v>
      </c>
      <c r="D618" s="493" t="s">
        <v>98</v>
      </c>
      <c r="E618" s="712" t="s">
        <v>321</v>
      </c>
      <c r="F618" s="492" t="s">
        <v>302</v>
      </c>
      <c r="G618" s="122" t="s">
        <v>18</v>
      </c>
      <c r="H618" s="534" t="s">
        <v>954</v>
      </c>
      <c r="I618" s="582" t="str">
        <f>VLOOKUP(H618,'9a-Typen vloeren'!$A$10:$B$40,2,FALSE)</f>
        <v>zie kwaliteitsontwerp</v>
      </c>
      <c r="J618" s="590">
        <v>8.5</v>
      </c>
      <c r="K618" s="433">
        <f t="shared" si="45"/>
        <v>0</v>
      </c>
      <c r="L618" s="433">
        <f t="shared" si="46"/>
        <v>0</v>
      </c>
      <c r="M618" s="433">
        <f t="shared" si="47"/>
        <v>0</v>
      </c>
      <c r="N618" s="672"/>
      <c r="O618" s="729">
        <f>IF(N618="",0,N618*K618/'9b-Vloeronderhoud'!$F$4)</f>
        <v>0</v>
      </c>
      <c r="P618" s="672"/>
      <c r="Q618" s="729" t="e">
        <f>IF(O618="",0,P618*L618/'9b-Vloeronderhoud'!$F$6)</f>
        <v>#DIV/0!</v>
      </c>
      <c r="R618" s="449">
        <v>1</v>
      </c>
      <c r="S618" s="672">
        <v>190</v>
      </c>
      <c r="T618" s="161" t="e">
        <f t="shared" si="48"/>
        <v>#DIV/0!</v>
      </c>
      <c r="U618" s="162">
        <f>IF(S618="nio",0,IF(S618&gt;0,VLOOKUP(G618,'3-Productie normen'!A:K,VLOOKUP(S618,'3-Productie normen'!L:N,3,FALSE),FALSE)))</f>
        <v>0</v>
      </c>
      <c r="V618" s="162">
        <f>VLOOKUP(G618,'3-Productie normen'!A:K,10,FALSE)</f>
        <v>1859.5880019121171</v>
      </c>
      <c r="W618" s="163">
        <f>VLOOKUP(G618,'3-Productie normen'!A:K,11,FALSE)</f>
        <v>0</v>
      </c>
      <c r="X618" s="163"/>
      <c r="Z618" s="129">
        <f t="shared" si="49"/>
        <v>1615</v>
      </c>
    </row>
    <row r="619" spans="1:26" ht="14.1" customHeight="1">
      <c r="A619" s="144">
        <v>625</v>
      </c>
      <c r="B619" s="160" t="s">
        <v>929</v>
      </c>
      <c r="C619" s="160" t="s">
        <v>488</v>
      </c>
      <c r="D619" s="493" t="s">
        <v>98</v>
      </c>
      <c r="E619" s="712" t="s">
        <v>326</v>
      </c>
      <c r="F619" s="492" t="s">
        <v>287</v>
      </c>
      <c r="G619" s="122" t="s">
        <v>287</v>
      </c>
      <c r="H619" s="169" t="s">
        <v>102</v>
      </c>
      <c r="I619" s="582" t="str">
        <f>VLOOKUP(H619,'9a-Typen vloeren'!$A$10:$B$40,2,FALSE)</f>
        <v>n.v.t.</v>
      </c>
      <c r="J619" s="590">
        <v>13.2</v>
      </c>
      <c r="K619" s="433">
        <f t="shared" si="45"/>
        <v>0</v>
      </c>
      <c r="L619" s="433">
        <f t="shared" si="46"/>
        <v>0</v>
      </c>
      <c r="M619" s="433">
        <f t="shared" si="47"/>
        <v>0</v>
      </c>
      <c r="N619" s="672"/>
      <c r="O619" s="729">
        <f>IF(N619="",0,N619*K619/'9b-Vloeronderhoud'!$F$4)</f>
        <v>0</v>
      </c>
      <c r="P619" s="672"/>
      <c r="Q619" s="729" t="e">
        <f>IF(O619="",0,P619*L619/'9b-Vloeronderhoud'!$F$6)</f>
        <v>#DIV/0!</v>
      </c>
      <c r="R619" s="449">
        <v>1</v>
      </c>
      <c r="S619" s="672">
        <v>80</v>
      </c>
      <c r="T619" s="161" t="e">
        <f t="shared" si="48"/>
        <v>#DIV/0!</v>
      </c>
      <c r="U619" s="162">
        <f>IF(S619="nio",0,IF(S619&gt;0,VLOOKUP(G619,'3-Productie normen'!A:K,VLOOKUP(S619,'3-Productie normen'!L:N,3,FALSE),FALSE)))</f>
        <v>0</v>
      </c>
      <c r="V619" s="162">
        <f>VLOOKUP(G619,'3-Productie normen'!A:K,10,FALSE)</f>
        <v>519.460002565384</v>
      </c>
      <c r="W619" s="163">
        <f>VLOOKUP(G619,'3-Productie normen'!A:K,11,FALSE)</f>
        <v>0</v>
      </c>
      <c r="X619" s="163"/>
      <c r="Z619" s="129">
        <f t="shared" si="49"/>
        <v>1056</v>
      </c>
    </row>
    <row r="620" spans="1:26" ht="14.1" customHeight="1">
      <c r="A620" s="144">
        <v>626</v>
      </c>
      <c r="B620" s="160" t="s">
        <v>929</v>
      </c>
      <c r="C620" s="160" t="s">
        <v>488</v>
      </c>
      <c r="D620" s="493" t="s">
        <v>98</v>
      </c>
      <c r="E620" s="712" t="s">
        <v>328</v>
      </c>
      <c r="F620" s="492" t="s">
        <v>489</v>
      </c>
      <c r="G620" s="122" t="s">
        <v>99</v>
      </c>
      <c r="H620" s="303" t="s">
        <v>332</v>
      </c>
      <c r="I620" s="582" t="str">
        <f>VLOOKUP(H620,'9a-Typen vloeren'!$A$10:$B$40,2,FALSE)</f>
        <v>Sproei/extraheren</v>
      </c>
      <c r="J620" s="590">
        <v>20.100000000000001</v>
      </c>
      <c r="K620" s="433">
        <f t="shared" si="45"/>
        <v>0</v>
      </c>
      <c r="L620" s="433">
        <f t="shared" si="46"/>
        <v>0</v>
      </c>
      <c r="M620" s="433">
        <f t="shared" si="47"/>
        <v>20.100000000000001</v>
      </c>
      <c r="N620" s="672"/>
      <c r="O620" s="729">
        <f>IF(N620="",0,N620*K620/'9b-Vloeronderhoud'!$F$4)</f>
        <v>0</v>
      </c>
      <c r="P620" s="672"/>
      <c r="Q620" s="729" t="e">
        <f>IF(O620="",0,P620*L620/'9b-Vloeronderhoud'!$F$6)</f>
        <v>#DIV/0!</v>
      </c>
      <c r="R620" s="449">
        <v>1</v>
      </c>
      <c r="S620" s="672">
        <v>190</v>
      </c>
      <c r="T620" s="161" t="e">
        <f t="shared" si="48"/>
        <v>#DIV/0!</v>
      </c>
      <c r="U620" s="162">
        <f>IF(S620="nio",0,IF(S620&gt;0,VLOOKUP(G620,'3-Productie normen'!A:K,VLOOKUP(S620,'3-Productie normen'!L:N,3,FALSE),FALSE)))</f>
        <v>0</v>
      </c>
      <c r="V620" s="162">
        <f>VLOOKUP(G620,'3-Productie normen'!A:K,10,FALSE)</f>
        <v>726.97999910354622</v>
      </c>
      <c r="W620" s="163">
        <f>VLOOKUP(G620,'3-Productie normen'!A:K,11,FALSE)</f>
        <v>0</v>
      </c>
      <c r="X620" s="163"/>
      <c r="Z620" s="129">
        <f t="shared" si="49"/>
        <v>3819.0000000000005</v>
      </c>
    </row>
    <row r="621" spans="1:26" ht="14.1" customHeight="1">
      <c r="A621" s="144">
        <v>627</v>
      </c>
      <c r="B621" s="160" t="s">
        <v>929</v>
      </c>
      <c r="C621" s="160" t="s">
        <v>488</v>
      </c>
      <c r="D621" s="493" t="s">
        <v>98</v>
      </c>
      <c r="E621" s="712" t="s">
        <v>331</v>
      </c>
      <c r="F621" s="160" t="s">
        <v>313</v>
      </c>
      <c r="G621" s="460" t="s">
        <v>881</v>
      </c>
      <c r="H621" s="169" t="s">
        <v>101</v>
      </c>
      <c r="I621" s="582" t="str">
        <f>VLOOKUP(H621,'9a-Typen vloeren'!$A$10:$B$40,2,FALSE)</f>
        <v>Schrobben</v>
      </c>
      <c r="J621" s="590">
        <v>4.8</v>
      </c>
      <c r="K621" s="433">
        <f t="shared" si="45"/>
        <v>0</v>
      </c>
      <c r="L621" s="433">
        <f t="shared" si="46"/>
        <v>0</v>
      </c>
      <c r="M621" s="433">
        <f t="shared" si="47"/>
        <v>0</v>
      </c>
      <c r="N621" s="672"/>
      <c r="O621" s="729">
        <f>IF(N621="",0,N621*K621/'9b-Vloeronderhoud'!$F$4)</f>
        <v>0</v>
      </c>
      <c r="P621" s="672"/>
      <c r="Q621" s="729" t="e">
        <f>IF(O621="",0,P621*L621/'9b-Vloeronderhoud'!$F$6)</f>
        <v>#DIV/0!</v>
      </c>
      <c r="R621" s="449">
        <v>1</v>
      </c>
      <c r="S621" s="672" t="s">
        <v>179</v>
      </c>
      <c r="T621" s="161">
        <f t="shared" si="48"/>
        <v>0</v>
      </c>
      <c r="U621" s="162">
        <f>IF(S621="nio",0,IF(S621&gt;0,VLOOKUP(G621,'3-Productie normen'!A:K,VLOOKUP(S621,'3-Productie normen'!L:N,3,FALSE),FALSE)))</f>
        <v>0</v>
      </c>
      <c r="V621" s="162">
        <f>VLOOKUP(G621,'3-Productie normen'!A:K,10,FALSE)</f>
        <v>5262.809993648526</v>
      </c>
      <c r="W621" s="163">
        <f>VLOOKUP(G621,'3-Productie normen'!A:K,11,FALSE)</f>
        <v>0</v>
      </c>
      <c r="X621" s="163"/>
      <c r="Z621" s="129">
        <f t="shared" si="49"/>
        <v>0</v>
      </c>
    </row>
    <row r="622" spans="1:26" ht="14.1" customHeight="1">
      <c r="A622" s="144">
        <v>628</v>
      </c>
      <c r="B622" s="160" t="s">
        <v>929</v>
      </c>
      <c r="C622" s="160" t="s">
        <v>488</v>
      </c>
      <c r="D622" s="493" t="s">
        <v>98</v>
      </c>
      <c r="E622" s="712" t="s">
        <v>406</v>
      </c>
      <c r="F622" s="492" t="s">
        <v>302</v>
      </c>
      <c r="G622" s="4" t="s">
        <v>18</v>
      </c>
      <c r="H622" s="524" t="s">
        <v>966</v>
      </c>
      <c r="I622" s="582" t="str">
        <f>VLOOKUP(H622,'9a-Typen vloeren'!$A$10:$B$40,2,FALSE)</f>
        <v>zie kwaliteitsontwerp</v>
      </c>
      <c r="J622" s="590">
        <v>1.5</v>
      </c>
      <c r="K622" s="433">
        <f t="shared" si="45"/>
        <v>0</v>
      </c>
      <c r="L622" s="433">
        <f t="shared" si="46"/>
        <v>0</v>
      </c>
      <c r="M622" s="433">
        <f t="shared" si="47"/>
        <v>0</v>
      </c>
      <c r="N622" s="672"/>
      <c r="O622" s="729">
        <f>IF(N622="",0,N622*K622/'9b-Vloeronderhoud'!$F$4)</f>
        <v>0</v>
      </c>
      <c r="P622" s="672"/>
      <c r="Q622" s="729" t="e">
        <f>IF(O622="",0,P622*L622/'9b-Vloeronderhoud'!$F$6)</f>
        <v>#DIV/0!</v>
      </c>
      <c r="R622" s="449">
        <v>1</v>
      </c>
      <c r="S622" s="672">
        <v>190</v>
      </c>
      <c r="T622" s="161" t="e">
        <f t="shared" si="48"/>
        <v>#DIV/0!</v>
      </c>
      <c r="U622" s="162">
        <f>IF(S622="nio",0,IF(S622&gt;0,VLOOKUP(G622,'3-Productie normen'!A:K,VLOOKUP(S622,'3-Productie normen'!L:N,3,FALSE),FALSE)))</f>
        <v>0</v>
      </c>
      <c r="V622" s="162">
        <f>VLOOKUP(G622,'3-Productie normen'!A:K,10,FALSE)</f>
        <v>1859.5880019121171</v>
      </c>
      <c r="W622" s="163">
        <f>VLOOKUP(G622,'3-Productie normen'!A:K,11,FALSE)</f>
        <v>0</v>
      </c>
      <c r="X622" s="163"/>
      <c r="Z622" s="129">
        <f t="shared" si="49"/>
        <v>285</v>
      </c>
    </row>
    <row r="623" spans="1:26" ht="14.1" customHeight="1">
      <c r="A623" s="144">
        <v>629</v>
      </c>
      <c r="B623" s="160" t="s">
        <v>929</v>
      </c>
      <c r="C623" s="160" t="s">
        <v>488</v>
      </c>
      <c r="D623" s="493" t="s">
        <v>98</v>
      </c>
      <c r="E623" s="712" t="s">
        <v>407</v>
      </c>
      <c r="F623" s="492" t="s">
        <v>302</v>
      </c>
      <c r="G623" s="126" t="s">
        <v>18</v>
      </c>
      <c r="H623" s="534" t="s">
        <v>954</v>
      </c>
      <c r="I623" s="582" t="str">
        <f>VLOOKUP(H623,'9a-Typen vloeren'!$A$10:$B$40,2,FALSE)</f>
        <v>zie kwaliteitsontwerp</v>
      </c>
      <c r="J623" s="590">
        <v>1.5</v>
      </c>
      <c r="K623" s="433">
        <f t="shared" si="45"/>
        <v>0</v>
      </c>
      <c r="L623" s="433">
        <f t="shared" si="46"/>
        <v>0</v>
      </c>
      <c r="M623" s="433">
        <f t="shared" si="47"/>
        <v>0</v>
      </c>
      <c r="N623" s="672"/>
      <c r="O623" s="729">
        <f>IF(N623="",0,N623*K623/'9b-Vloeronderhoud'!$F$4)</f>
        <v>0</v>
      </c>
      <c r="P623" s="672"/>
      <c r="Q623" s="729" t="e">
        <f>IF(O623="",0,P623*L623/'9b-Vloeronderhoud'!$F$6)</f>
        <v>#DIV/0!</v>
      </c>
      <c r="R623" s="449">
        <v>1</v>
      </c>
      <c r="S623" s="672">
        <v>190</v>
      </c>
      <c r="T623" s="161" t="e">
        <f t="shared" si="48"/>
        <v>#DIV/0!</v>
      </c>
      <c r="U623" s="162">
        <f>IF(S623="nio",0,IF(S623&gt;0,VLOOKUP(G623,'3-Productie normen'!A:K,VLOOKUP(S623,'3-Productie normen'!L:N,3,FALSE),FALSE)))</f>
        <v>0</v>
      </c>
      <c r="V623" s="162">
        <f>VLOOKUP(G623,'3-Productie normen'!A:K,10,FALSE)</f>
        <v>1859.5880019121171</v>
      </c>
      <c r="W623" s="163">
        <f>VLOOKUP(G623,'3-Productie normen'!A:K,11,FALSE)</f>
        <v>0</v>
      </c>
      <c r="X623" s="163"/>
      <c r="Z623" s="129">
        <f t="shared" si="49"/>
        <v>285</v>
      </c>
    </row>
    <row r="624" spans="1:26" ht="14.1" customHeight="1">
      <c r="A624" s="144">
        <v>630</v>
      </c>
      <c r="B624" s="160" t="s">
        <v>929</v>
      </c>
      <c r="C624" s="160" t="s">
        <v>488</v>
      </c>
      <c r="D624" s="493" t="s">
        <v>98</v>
      </c>
      <c r="E624" s="712" t="s">
        <v>408</v>
      </c>
      <c r="F624" s="492" t="s">
        <v>285</v>
      </c>
      <c r="G624" s="460" t="s">
        <v>285</v>
      </c>
      <c r="H624" s="169" t="s">
        <v>100</v>
      </c>
      <c r="I624" s="582" t="str">
        <f>VLOOKUP(H624,'9a-Typen vloeren'!$A$10:$B$40,2,FALSE)</f>
        <v>Sprayen/ conserveren</v>
      </c>
      <c r="J624" s="590">
        <v>62.7</v>
      </c>
      <c r="K624" s="433">
        <f t="shared" si="45"/>
        <v>62.7</v>
      </c>
      <c r="L624" s="433">
        <f t="shared" si="46"/>
        <v>0</v>
      </c>
      <c r="M624" s="433">
        <f t="shared" si="47"/>
        <v>0</v>
      </c>
      <c r="N624" s="672"/>
      <c r="O624" s="729">
        <f>IF(N624="",0,N624*K624/'9b-Vloeronderhoud'!$F$4)</f>
        <v>0</v>
      </c>
      <c r="P624" s="672"/>
      <c r="Q624" s="729" t="e">
        <f>IF(O624="",0,P624*L624/'9b-Vloeronderhoud'!$F$6)</f>
        <v>#DIV/0!</v>
      </c>
      <c r="R624" s="449">
        <v>1</v>
      </c>
      <c r="S624" s="672">
        <v>190</v>
      </c>
      <c r="T624" s="161" t="e">
        <f t="shared" si="48"/>
        <v>#DIV/0!</v>
      </c>
      <c r="U624" s="162">
        <f>IF(S624="nio",0,IF(S624&gt;0,VLOOKUP(G624,'3-Productie normen'!A:K,VLOOKUP(S624,'3-Productie normen'!L:N,3,FALSE),FALSE)))</f>
        <v>0</v>
      </c>
      <c r="V624" s="162">
        <f>VLOOKUP(G624,'3-Productie normen'!A:K,10,FALSE)</f>
        <v>3305.8200070953367</v>
      </c>
      <c r="W624" s="163">
        <f>VLOOKUP(G624,'3-Productie normen'!A:K,11,FALSE)</f>
        <v>0</v>
      </c>
      <c r="X624" s="163"/>
      <c r="Z624" s="129">
        <f t="shared" si="49"/>
        <v>11913</v>
      </c>
    </row>
    <row r="625" spans="1:26" ht="14.1" customHeight="1">
      <c r="A625" s="144">
        <v>631</v>
      </c>
      <c r="B625" s="160" t="s">
        <v>929</v>
      </c>
      <c r="C625" s="160" t="s">
        <v>488</v>
      </c>
      <c r="D625" s="493" t="s">
        <v>98</v>
      </c>
      <c r="E625" s="712" t="s">
        <v>323</v>
      </c>
      <c r="F625" s="492" t="s">
        <v>380</v>
      </c>
      <c r="G625" s="460" t="s">
        <v>862</v>
      </c>
      <c r="H625" s="169" t="s">
        <v>100</v>
      </c>
      <c r="I625" s="582" t="str">
        <f>VLOOKUP(H625,'9a-Typen vloeren'!$A$10:$B$40,2,FALSE)</f>
        <v>Sprayen/ conserveren</v>
      </c>
      <c r="J625" s="590">
        <v>16.100000381469727</v>
      </c>
      <c r="K625" s="433">
        <f t="shared" si="45"/>
        <v>16.100000381469727</v>
      </c>
      <c r="L625" s="433">
        <f t="shared" si="46"/>
        <v>0</v>
      </c>
      <c r="M625" s="433">
        <f t="shared" si="47"/>
        <v>0</v>
      </c>
      <c r="N625" s="672">
        <v>2</v>
      </c>
      <c r="O625" s="729" t="e">
        <f>IF(N625="",0,N625*K625/'9b-Vloeronderhoud'!$F$4)</f>
        <v>#DIV/0!</v>
      </c>
      <c r="P625" s="672"/>
      <c r="Q625" s="729" t="e">
        <f>IF(O625="",0,P625*L625/'9b-Vloeronderhoud'!$F$6)</f>
        <v>#DIV/0!</v>
      </c>
      <c r="R625" s="449">
        <v>1</v>
      </c>
      <c r="S625" s="672">
        <v>120</v>
      </c>
      <c r="T625" s="161" t="e">
        <f t="shared" si="48"/>
        <v>#DIV/0!</v>
      </c>
      <c r="U625" s="162">
        <f>IF(S625="nio",0,IF(S625&gt;0,VLOOKUP(G625,'3-Productie normen'!A:K,VLOOKUP(S625,'3-Productie normen'!L:N,3,FALSE),FALSE)))</f>
        <v>0</v>
      </c>
      <c r="V625" s="162">
        <f>VLOOKUP(G625,'3-Productie normen'!A:K,10,FALSE)</f>
        <v>4374.9900215911857</v>
      </c>
      <c r="W625" s="163">
        <f>VLOOKUP(G625,'3-Productie normen'!A:K,11,FALSE)</f>
        <v>0</v>
      </c>
      <c r="X625" s="163"/>
      <c r="Z625" s="129">
        <f t="shared" si="49"/>
        <v>1932.0000457763672</v>
      </c>
    </row>
    <row r="626" spans="1:26" ht="14.1" customHeight="1">
      <c r="A626" s="144">
        <v>632</v>
      </c>
      <c r="B626" s="160" t="s">
        <v>929</v>
      </c>
      <c r="C626" s="160" t="s">
        <v>488</v>
      </c>
      <c r="D626" s="493" t="s">
        <v>98</v>
      </c>
      <c r="E626" s="712" t="s">
        <v>318</v>
      </c>
      <c r="F626" s="492" t="s">
        <v>221</v>
      </c>
      <c r="G626" s="533" t="s">
        <v>221</v>
      </c>
      <c r="H626" s="169" t="s">
        <v>100</v>
      </c>
      <c r="I626" s="582" t="str">
        <f>VLOOKUP(H626,'9a-Typen vloeren'!$A$10:$B$40,2,FALSE)</f>
        <v>Sprayen/ conserveren</v>
      </c>
      <c r="J626" s="590">
        <v>63.8</v>
      </c>
      <c r="K626" s="433">
        <f t="shared" si="45"/>
        <v>63.8</v>
      </c>
      <c r="L626" s="433">
        <f t="shared" si="46"/>
        <v>0</v>
      </c>
      <c r="M626" s="433">
        <f t="shared" si="47"/>
        <v>0</v>
      </c>
      <c r="N626" s="672"/>
      <c r="O626" s="729">
        <f>IF(N626="",0,N626*K626/'9b-Vloeronderhoud'!$F$4)</f>
        <v>0</v>
      </c>
      <c r="P626" s="672"/>
      <c r="Q626" s="729" t="e">
        <f>IF(O626="",0,P626*L626/'9b-Vloeronderhoud'!$F$6)</f>
        <v>#DIV/0!</v>
      </c>
      <c r="R626" s="449">
        <v>1</v>
      </c>
      <c r="S626" s="672">
        <v>80</v>
      </c>
      <c r="T626" s="161" t="e">
        <f t="shared" si="48"/>
        <v>#DIV/0!</v>
      </c>
      <c r="U626" s="162">
        <f>IF(S626="nio",0,IF(S626&gt;0,VLOOKUP(G626,'3-Productie normen'!A:K,VLOOKUP(S626,'3-Productie normen'!L:N,3,FALSE),FALSE)))</f>
        <v>0</v>
      </c>
      <c r="V626" s="162">
        <f>VLOOKUP(G626,'3-Productie normen'!A:K,10,FALSE)</f>
        <v>16013.110036668773</v>
      </c>
      <c r="W626" s="163">
        <f>VLOOKUP(G626,'3-Productie normen'!A:K,11,FALSE)</f>
        <v>0</v>
      </c>
      <c r="X626" s="163"/>
      <c r="Z626" s="129">
        <f t="shared" si="49"/>
        <v>5104</v>
      </c>
    </row>
    <row r="627" spans="1:26" ht="14.1" customHeight="1">
      <c r="A627" s="144">
        <v>633</v>
      </c>
      <c r="B627" s="160" t="s">
        <v>929</v>
      </c>
      <c r="C627" s="160" t="s">
        <v>488</v>
      </c>
      <c r="D627" s="493" t="s">
        <v>98</v>
      </c>
      <c r="E627" s="712" t="s">
        <v>319</v>
      </c>
      <c r="F627" s="492" t="s">
        <v>344</v>
      </c>
      <c r="G627" s="122" t="s">
        <v>221</v>
      </c>
      <c r="H627" s="169" t="s">
        <v>100</v>
      </c>
      <c r="I627" s="582" t="str">
        <f>VLOOKUP(H627,'9a-Typen vloeren'!$A$10:$B$40,2,FALSE)</f>
        <v>Sprayen/ conserveren</v>
      </c>
      <c r="J627" s="590">
        <v>8.6</v>
      </c>
      <c r="K627" s="433">
        <f t="shared" si="45"/>
        <v>8.6</v>
      </c>
      <c r="L627" s="433">
        <f t="shared" si="46"/>
        <v>0</v>
      </c>
      <c r="M627" s="433">
        <f t="shared" si="47"/>
        <v>0</v>
      </c>
      <c r="N627" s="672"/>
      <c r="O627" s="729">
        <f>IF(N627="",0,N627*K627/'9b-Vloeronderhoud'!$F$4)</f>
        <v>0</v>
      </c>
      <c r="P627" s="672"/>
      <c r="Q627" s="729" t="e">
        <f>IF(O627="",0,P627*L627/'9b-Vloeronderhoud'!$F$6)</f>
        <v>#DIV/0!</v>
      </c>
      <c r="R627" s="449">
        <v>1</v>
      </c>
      <c r="S627" s="672">
        <v>80</v>
      </c>
      <c r="T627" s="161" t="e">
        <f t="shared" si="48"/>
        <v>#DIV/0!</v>
      </c>
      <c r="U627" s="162">
        <f>IF(S627="nio",0,IF(S627&gt;0,VLOOKUP(G627,'3-Productie normen'!A:K,VLOOKUP(S627,'3-Productie normen'!L:N,3,FALSE),FALSE)))</f>
        <v>0</v>
      </c>
      <c r="V627" s="162">
        <f>VLOOKUP(G627,'3-Productie normen'!A:K,10,FALSE)</f>
        <v>16013.110036668773</v>
      </c>
      <c r="W627" s="163">
        <f>VLOOKUP(G627,'3-Productie normen'!A:K,11,FALSE)</f>
        <v>0</v>
      </c>
      <c r="X627" s="163"/>
      <c r="Z627" s="129">
        <f t="shared" si="49"/>
        <v>688</v>
      </c>
    </row>
    <row r="628" spans="1:26" ht="14.1" customHeight="1">
      <c r="A628" s="144">
        <v>634</v>
      </c>
      <c r="B628" s="160" t="s">
        <v>929</v>
      </c>
      <c r="C628" s="160" t="s">
        <v>488</v>
      </c>
      <c r="D628" s="493" t="s">
        <v>98</v>
      </c>
      <c r="E628" s="712" t="s">
        <v>317</v>
      </c>
      <c r="F628" s="492" t="s">
        <v>490</v>
      </c>
      <c r="G628" s="303" t="s">
        <v>286</v>
      </c>
      <c r="H628" s="169" t="s">
        <v>100</v>
      </c>
      <c r="I628" s="582" t="str">
        <f>VLOOKUP(H628,'9a-Typen vloeren'!$A$10:$B$40,2,FALSE)</f>
        <v>Sprayen/ conserveren</v>
      </c>
      <c r="J628" s="590">
        <v>4.5999999046325684</v>
      </c>
      <c r="K628" s="433">
        <f t="shared" si="45"/>
        <v>4.5999999046325684</v>
      </c>
      <c r="L628" s="433">
        <f t="shared" si="46"/>
        <v>0</v>
      </c>
      <c r="M628" s="433">
        <f t="shared" si="47"/>
        <v>0</v>
      </c>
      <c r="N628" s="672"/>
      <c r="O628" s="729">
        <f>IF(N628="",0,N628*K628/'9b-Vloeronderhoud'!$F$4)</f>
        <v>0</v>
      </c>
      <c r="P628" s="672"/>
      <c r="Q628" s="729" t="e">
        <f>IF(O628="",0,P628*L628/'9b-Vloeronderhoud'!$F$6)</f>
        <v>#DIV/0!</v>
      </c>
      <c r="R628" s="449">
        <v>1</v>
      </c>
      <c r="S628" s="672">
        <v>80</v>
      </c>
      <c r="T628" s="161" t="e">
        <f t="shared" si="48"/>
        <v>#DIV/0!</v>
      </c>
      <c r="U628" s="162">
        <f>IF(S628="nio",0,IF(S628&gt;0,VLOOKUP(G628,'3-Productie normen'!A:K,VLOOKUP(S628,'3-Productie normen'!L:N,3,FALSE),FALSE)))</f>
        <v>0</v>
      </c>
      <c r="V628" s="162">
        <f>VLOOKUP(G628,'3-Productie normen'!A:K,10,FALSE)</f>
        <v>6152.9500017547598</v>
      </c>
      <c r="W628" s="163">
        <f>VLOOKUP(G628,'3-Productie normen'!A:K,11,FALSE)</f>
        <v>0</v>
      </c>
      <c r="X628" s="163"/>
      <c r="Z628" s="129">
        <f t="shared" si="49"/>
        <v>367.99999237060547</v>
      </c>
    </row>
    <row r="629" spans="1:26" ht="14.1" customHeight="1">
      <c r="A629" s="144">
        <v>635</v>
      </c>
      <c r="B629" s="160" t="s">
        <v>929</v>
      </c>
      <c r="C629" s="160" t="s">
        <v>488</v>
      </c>
      <c r="D629" s="493" t="s">
        <v>98</v>
      </c>
      <c r="E629" s="712" t="s">
        <v>307</v>
      </c>
      <c r="F629" s="492" t="s">
        <v>313</v>
      </c>
      <c r="G629" s="460" t="s">
        <v>881</v>
      </c>
      <c r="H629" s="169" t="s">
        <v>100</v>
      </c>
      <c r="I629" s="582" t="str">
        <f>VLOOKUP(H629,'9a-Typen vloeren'!$A$10:$B$40,2,FALSE)</f>
        <v>Sprayen/ conserveren</v>
      </c>
      <c r="J629" s="590">
        <v>16.799999237060547</v>
      </c>
      <c r="K629" s="433">
        <f t="shared" si="45"/>
        <v>0</v>
      </c>
      <c r="L629" s="433">
        <f t="shared" si="46"/>
        <v>0</v>
      </c>
      <c r="M629" s="433">
        <f t="shared" si="47"/>
        <v>0</v>
      </c>
      <c r="N629" s="672"/>
      <c r="O629" s="729">
        <f>IF(N629="",0,N629*K629/'9b-Vloeronderhoud'!$F$4)</f>
        <v>0</v>
      </c>
      <c r="P629" s="672"/>
      <c r="Q629" s="729" t="e">
        <f>IF(O629="",0,P629*L629/'9b-Vloeronderhoud'!$F$6)</f>
        <v>#DIV/0!</v>
      </c>
      <c r="R629" s="449">
        <v>1</v>
      </c>
      <c r="S629" s="672" t="s">
        <v>179</v>
      </c>
      <c r="T629" s="161">
        <f t="shared" si="48"/>
        <v>0</v>
      </c>
      <c r="U629" s="162">
        <f>IF(S629="nio",0,IF(S629&gt;0,VLOOKUP(G629,'3-Productie normen'!A:K,VLOOKUP(S629,'3-Productie normen'!L:N,3,FALSE),FALSE)))</f>
        <v>0</v>
      </c>
      <c r="V629" s="162">
        <f>VLOOKUP(G629,'3-Productie normen'!A:K,10,FALSE)</f>
        <v>5262.809993648526</v>
      </c>
      <c r="W629" s="163">
        <f>VLOOKUP(G629,'3-Productie normen'!A:K,11,FALSE)</f>
        <v>0</v>
      </c>
      <c r="X629" s="163"/>
      <c r="Z629" s="129">
        <f t="shared" si="49"/>
        <v>0</v>
      </c>
    </row>
    <row r="630" spans="1:26" ht="14.1" customHeight="1">
      <c r="A630" s="144">
        <v>636</v>
      </c>
      <c r="B630" s="160" t="s">
        <v>929</v>
      </c>
      <c r="C630" s="160" t="s">
        <v>488</v>
      </c>
      <c r="D630" s="493" t="s">
        <v>98</v>
      </c>
      <c r="E630" s="712" t="s">
        <v>301</v>
      </c>
      <c r="F630" s="492" t="s">
        <v>281</v>
      </c>
      <c r="G630" s="460" t="s">
        <v>881</v>
      </c>
      <c r="H630" s="169" t="s">
        <v>375</v>
      </c>
      <c r="I630" s="582" t="str">
        <f>VLOOKUP(H630,'9a-Typen vloeren'!$A$10:$B$40,2,FALSE)</f>
        <v>n.v.t.</v>
      </c>
      <c r="J630" s="590">
        <v>3.3</v>
      </c>
      <c r="K630" s="433">
        <f t="shared" si="45"/>
        <v>0</v>
      </c>
      <c r="L630" s="433">
        <f t="shared" si="46"/>
        <v>0</v>
      </c>
      <c r="M630" s="433">
        <f t="shared" si="47"/>
        <v>0</v>
      </c>
      <c r="N630" s="672"/>
      <c r="O630" s="729">
        <f>IF(N630="",0,N630*K630/'9b-Vloeronderhoud'!$F$4)</f>
        <v>0</v>
      </c>
      <c r="P630" s="672"/>
      <c r="Q630" s="729" t="e">
        <f>IF(O630="",0,P630*L630/'9b-Vloeronderhoud'!$F$6)</f>
        <v>#DIV/0!</v>
      </c>
      <c r="R630" s="449">
        <v>1</v>
      </c>
      <c r="S630" s="672" t="s">
        <v>179</v>
      </c>
      <c r="T630" s="161">
        <f t="shared" si="48"/>
        <v>0</v>
      </c>
      <c r="U630" s="162">
        <f>IF(S630="nio",0,IF(S630&gt;0,VLOOKUP(G630,'3-Productie normen'!A:K,VLOOKUP(S630,'3-Productie normen'!L:N,3,FALSE),FALSE)))</f>
        <v>0</v>
      </c>
      <c r="V630" s="162">
        <f>VLOOKUP(G630,'3-Productie normen'!A:K,10,FALSE)</f>
        <v>5262.809993648526</v>
      </c>
      <c r="W630" s="163">
        <f>VLOOKUP(G630,'3-Productie normen'!A:K,11,FALSE)</f>
        <v>0</v>
      </c>
      <c r="X630" s="163"/>
      <c r="Z630" s="129">
        <f t="shared" si="49"/>
        <v>0</v>
      </c>
    </row>
    <row r="631" spans="1:26" ht="14.1" customHeight="1">
      <c r="A631" s="144">
        <v>637</v>
      </c>
      <c r="B631" s="160" t="s">
        <v>929</v>
      </c>
      <c r="C631" s="160" t="s">
        <v>488</v>
      </c>
      <c r="D631" s="493" t="s">
        <v>98</v>
      </c>
      <c r="E631" s="712" t="s">
        <v>298</v>
      </c>
      <c r="F631" s="492" t="s">
        <v>297</v>
      </c>
      <c r="G631" s="122" t="s">
        <v>189</v>
      </c>
      <c r="H631" s="169" t="s">
        <v>100</v>
      </c>
      <c r="I631" s="582" t="str">
        <f>VLOOKUP(H631,'9a-Typen vloeren'!$A$10:$B$40,2,FALSE)</f>
        <v>Sprayen/ conserveren</v>
      </c>
      <c r="J631" s="590">
        <v>25.8</v>
      </c>
      <c r="K631" s="433">
        <f t="shared" si="45"/>
        <v>25.8</v>
      </c>
      <c r="L631" s="433">
        <f t="shared" si="46"/>
        <v>0</v>
      </c>
      <c r="M631" s="433">
        <f t="shared" si="47"/>
        <v>0</v>
      </c>
      <c r="N631" s="672"/>
      <c r="O631" s="729">
        <f>IF(N631="",0,N631*K631/'9b-Vloeronderhoud'!$F$4)</f>
        <v>0</v>
      </c>
      <c r="P631" s="672"/>
      <c r="Q631" s="729" t="e">
        <f>IF(O631="",0,P631*L631/'9b-Vloeronderhoud'!$F$6)</f>
        <v>#DIV/0!</v>
      </c>
      <c r="R631" s="449">
        <v>1</v>
      </c>
      <c r="S631" s="672">
        <v>40</v>
      </c>
      <c r="T631" s="161" t="e">
        <f t="shared" si="48"/>
        <v>#DIV/0!</v>
      </c>
      <c r="U631" s="162">
        <f>IF(S631="nio",0,IF(S631&gt;0,VLOOKUP(G631,'3-Productie normen'!A:K,VLOOKUP(S631,'3-Productie normen'!L:N,3,FALSE),FALSE)))</f>
        <v>0</v>
      </c>
      <c r="V631" s="162">
        <f>VLOOKUP(G631,'3-Productie normen'!A:K,10,FALSE)</f>
        <v>1494.1700078582762</v>
      </c>
      <c r="W631" s="163">
        <f>VLOOKUP(G631,'3-Productie normen'!A:K,11,FALSE)</f>
        <v>0</v>
      </c>
      <c r="X631" s="163"/>
      <c r="Z631" s="129">
        <f t="shared" si="49"/>
        <v>1032</v>
      </c>
    </row>
    <row r="632" spans="1:26" ht="14.1" customHeight="1">
      <c r="A632" s="144">
        <v>638</v>
      </c>
      <c r="B632" s="160" t="s">
        <v>929</v>
      </c>
      <c r="C632" s="160" t="s">
        <v>488</v>
      </c>
      <c r="D632" s="493" t="s">
        <v>98</v>
      </c>
      <c r="E632" s="712" t="s">
        <v>508</v>
      </c>
      <c r="F632" s="492" t="s">
        <v>302</v>
      </c>
      <c r="G632" s="460" t="s">
        <v>18</v>
      </c>
      <c r="H632" s="534" t="s">
        <v>954</v>
      </c>
      <c r="I632" s="582" t="str">
        <f>VLOOKUP(H632,'9a-Typen vloeren'!$A$10:$B$40,2,FALSE)</f>
        <v>zie kwaliteitsontwerp</v>
      </c>
      <c r="J632" s="590">
        <v>3.4000000953674316</v>
      </c>
      <c r="K632" s="433">
        <f t="shared" si="45"/>
        <v>0</v>
      </c>
      <c r="L632" s="433">
        <f t="shared" si="46"/>
        <v>0</v>
      </c>
      <c r="M632" s="433">
        <f t="shared" si="47"/>
        <v>0</v>
      </c>
      <c r="N632" s="672"/>
      <c r="O632" s="729">
        <f>IF(N632="",0,N632*K632/'9b-Vloeronderhoud'!$F$4)</f>
        <v>0</v>
      </c>
      <c r="P632" s="672"/>
      <c r="Q632" s="729" t="e">
        <f>IF(O632="",0,P632*L632/'9b-Vloeronderhoud'!$F$6)</f>
        <v>#DIV/0!</v>
      </c>
      <c r="R632" s="449">
        <v>1</v>
      </c>
      <c r="S632" s="672">
        <v>190</v>
      </c>
      <c r="T632" s="161" t="e">
        <f t="shared" si="48"/>
        <v>#DIV/0!</v>
      </c>
      <c r="U632" s="162">
        <f>IF(S632="nio",0,IF(S632&gt;0,VLOOKUP(G632,'3-Productie normen'!A:K,VLOOKUP(S632,'3-Productie normen'!L:N,3,FALSE),FALSE)))</f>
        <v>0</v>
      </c>
      <c r="V632" s="162">
        <f>VLOOKUP(G632,'3-Productie normen'!A:K,10,FALSE)</f>
        <v>1859.5880019121171</v>
      </c>
      <c r="W632" s="163">
        <f>VLOOKUP(G632,'3-Productie normen'!A:K,11,FALSE)</f>
        <v>0</v>
      </c>
      <c r="X632" s="163"/>
      <c r="Z632" s="129">
        <f t="shared" si="49"/>
        <v>646.00001811981201</v>
      </c>
    </row>
    <row r="633" spans="1:26" ht="14.1" customHeight="1">
      <c r="A633" s="144">
        <v>639</v>
      </c>
      <c r="B633" s="160" t="s">
        <v>929</v>
      </c>
      <c r="C633" s="160" t="s">
        <v>488</v>
      </c>
      <c r="D633" s="493" t="s">
        <v>419</v>
      </c>
      <c r="E633" s="712" t="s">
        <v>414</v>
      </c>
      <c r="F633" s="492" t="s">
        <v>99</v>
      </c>
      <c r="G633" s="122" t="s">
        <v>99</v>
      </c>
      <c r="H633" s="169" t="s">
        <v>100</v>
      </c>
      <c r="I633" s="582" t="str">
        <f>VLOOKUP(H633,'9a-Typen vloeren'!$A$10:$B$40,2,FALSE)</f>
        <v>Sprayen/ conserveren</v>
      </c>
      <c r="J633" s="590">
        <v>17.149999618530273</v>
      </c>
      <c r="K633" s="433">
        <f t="shared" si="45"/>
        <v>17.149999618530273</v>
      </c>
      <c r="L633" s="433">
        <f t="shared" si="46"/>
        <v>0</v>
      </c>
      <c r="M633" s="433">
        <f t="shared" si="47"/>
        <v>0</v>
      </c>
      <c r="N633" s="672">
        <v>2</v>
      </c>
      <c r="O633" s="729" t="e">
        <f>IF(N633="",0,N633*K633/'9b-Vloeronderhoud'!$F$4)</f>
        <v>#DIV/0!</v>
      </c>
      <c r="P633" s="672"/>
      <c r="Q633" s="729" t="e">
        <f>IF(O633="",0,P633*L633/'9b-Vloeronderhoud'!$F$6)</f>
        <v>#DIV/0!</v>
      </c>
      <c r="R633" s="449">
        <v>1</v>
      </c>
      <c r="S633" s="672">
        <v>190</v>
      </c>
      <c r="T633" s="161" t="e">
        <f t="shared" si="48"/>
        <v>#DIV/0!</v>
      </c>
      <c r="U633" s="162">
        <f>IF(S633="nio",0,IF(S633&gt;0,VLOOKUP(G633,'3-Productie normen'!A:K,VLOOKUP(S633,'3-Productie normen'!L:N,3,FALSE),FALSE)))</f>
        <v>0</v>
      </c>
      <c r="V633" s="162">
        <f>VLOOKUP(G633,'3-Productie normen'!A:K,10,FALSE)</f>
        <v>726.97999910354622</v>
      </c>
      <c r="W633" s="163">
        <f>VLOOKUP(G633,'3-Productie normen'!A:K,11,FALSE)</f>
        <v>0</v>
      </c>
      <c r="X633" s="163"/>
      <c r="Z633" s="129">
        <f t="shared" si="49"/>
        <v>3258.499927520752</v>
      </c>
    </row>
    <row r="634" spans="1:26" ht="14.1" customHeight="1">
      <c r="A634" s="144">
        <v>640</v>
      </c>
      <c r="B634" s="160" t="s">
        <v>929</v>
      </c>
      <c r="C634" s="160" t="s">
        <v>488</v>
      </c>
      <c r="D634" s="493" t="s">
        <v>419</v>
      </c>
      <c r="E634" s="712" t="s">
        <v>415</v>
      </c>
      <c r="F634" s="492" t="s">
        <v>221</v>
      </c>
      <c r="G634" s="4" t="s">
        <v>221</v>
      </c>
      <c r="H634" s="169" t="s">
        <v>100</v>
      </c>
      <c r="I634" s="582" t="str">
        <f>VLOOKUP(H634,'9a-Typen vloeren'!$A$10:$B$40,2,FALSE)</f>
        <v>Sprayen/ conserveren</v>
      </c>
      <c r="J634" s="590">
        <v>56.349998474121094</v>
      </c>
      <c r="K634" s="433">
        <f t="shared" si="45"/>
        <v>56.349998474121094</v>
      </c>
      <c r="L634" s="433">
        <f t="shared" si="46"/>
        <v>0</v>
      </c>
      <c r="M634" s="433">
        <f t="shared" si="47"/>
        <v>0</v>
      </c>
      <c r="N634" s="672"/>
      <c r="O634" s="729">
        <f>IF(N634="",0,N634*K634/'9b-Vloeronderhoud'!$F$4)</f>
        <v>0</v>
      </c>
      <c r="P634" s="672"/>
      <c r="Q634" s="729" t="e">
        <f>IF(O634="",0,P634*L634/'9b-Vloeronderhoud'!$F$6)</f>
        <v>#DIV/0!</v>
      </c>
      <c r="R634" s="449">
        <v>1</v>
      </c>
      <c r="S634" s="672">
        <v>80</v>
      </c>
      <c r="T634" s="161" t="e">
        <f t="shared" si="48"/>
        <v>#DIV/0!</v>
      </c>
      <c r="U634" s="162">
        <f>IF(S634="nio",0,IF(S634&gt;0,VLOOKUP(G634,'3-Productie normen'!A:K,VLOOKUP(S634,'3-Productie normen'!L:N,3,FALSE),FALSE)))</f>
        <v>0</v>
      </c>
      <c r="V634" s="162">
        <f>VLOOKUP(G634,'3-Productie normen'!A:K,10,FALSE)</f>
        <v>16013.110036668773</v>
      </c>
      <c r="W634" s="163">
        <f>VLOOKUP(G634,'3-Productie normen'!A:K,11,FALSE)</f>
        <v>0</v>
      </c>
      <c r="X634" s="163"/>
      <c r="Z634" s="129">
        <f t="shared" si="49"/>
        <v>4507.9998779296875</v>
      </c>
    </row>
    <row r="635" spans="1:26" ht="14.1" customHeight="1">
      <c r="A635" s="144">
        <v>641</v>
      </c>
      <c r="B635" s="160" t="s">
        <v>929</v>
      </c>
      <c r="C635" s="160" t="s">
        <v>488</v>
      </c>
      <c r="D635" s="493" t="s">
        <v>419</v>
      </c>
      <c r="E635" s="712" t="s">
        <v>416</v>
      </c>
      <c r="F635" s="492" t="s">
        <v>282</v>
      </c>
      <c r="G635" s="460" t="s">
        <v>881</v>
      </c>
      <c r="H635" s="169" t="s">
        <v>100</v>
      </c>
      <c r="I635" s="582" t="str">
        <f>VLOOKUP(H635,'9a-Typen vloeren'!$A$10:$B$40,2,FALSE)</f>
        <v>Sprayen/ conserveren</v>
      </c>
      <c r="J635" s="590">
        <v>8.5</v>
      </c>
      <c r="K635" s="433">
        <f t="shared" si="45"/>
        <v>0</v>
      </c>
      <c r="L635" s="433">
        <f t="shared" si="46"/>
        <v>0</v>
      </c>
      <c r="M635" s="433">
        <f t="shared" si="47"/>
        <v>0</v>
      </c>
      <c r="N635" s="672"/>
      <c r="O635" s="729">
        <f>IF(N635="",0,N635*K635/'9b-Vloeronderhoud'!$F$4)</f>
        <v>0</v>
      </c>
      <c r="P635" s="672"/>
      <c r="Q635" s="729" t="e">
        <f>IF(O635="",0,P635*L635/'9b-Vloeronderhoud'!$F$6)</f>
        <v>#DIV/0!</v>
      </c>
      <c r="R635" s="449">
        <v>1</v>
      </c>
      <c r="S635" s="672" t="s">
        <v>179</v>
      </c>
      <c r="T635" s="161">
        <f t="shared" si="48"/>
        <v>0</v>
      </c>
      <c r="U635" s="162">
        <f>IF(S635="nio",0,IF(S635&gt;0,VLOOKUP(G635,'3-Productie normen'!A:K,VLOOKUP(S635,'3-Productie normen'!L:N,3,FALSE),FALSE)))</f>
        <v>0</v>
      </c>
      <c r="V635" s="162">
        <f>VLOOKUP(G635,'3-Productie normen'!A:K,10,FALSE)</f>
        <v>5262.809993648526</v>
      </c>
      <c r="W635" s="163">
        <f>VLOOKUP(G635,'3-Productie normen'!A:K,11,FALSE)</f>
        <v>0</v>
      </c>
      <c r="X635" s="163"/>
      <c r="Z635" s="129">
        <f t="shared" si="49"/>
        <v>0</v>
      </c>
    </row>
    <row r="636" spans="1:26" ht="14.1" customHeight="1">
      <c r="A636" s="144">
        <v>642</v>
      </c>
      <c r="B636" s="160" t="s">
        <v>929</v>
      </c>
      <c r="C636" s="160" t="s">
        <v>488</v>
      </c>
      <c r="D636" s="493" t="s">
        <v>419</v>
      </c>
      <c r="E636" s="712" t="s">
        <v>417</v>
      </c>
      <c r="F636" s="492" t="s">
        <v>302</v>
      </c>
      <c r="G636" s="460" t="s">
        <v>18</v>
      </c>
      <c r="H636" s="524" t="s">
        <v>966</v>
      </c>
      <c r="I636" s="582" t="str">
        <f>VLOOKUP(H636,'9a-Typen vloeren'!$A$10:$B$40,2,FALSE)</f>
        <v>zie kwaliteitsontwerp</v>
      </c>
      <c r="J636" s="590">
        <v>8.5</v>
      </c>
      <c r="K636" s="433">
        <f t="shared" si="45"/>
        <v>0</v>
      </c>
      <c r="L636" s="433">
        <f t="shared" si="46"/>
        <v>0</v>
      </c>
      <c r="M636" s="433">
        <f t="shared" si="47"/>
        <v>0</v>
      </c>
      <c r="N636" s="672"/>
      <c r="O636" s="729">
        <f>IF(N636="",0,N636*K636/'9b-Vloeronderhoud'!$F$4)</f>
        <v>0</v>
      </c>
      <c r="P636" s="672"/>
      <c r="Q636" s="729" t="e">
        <f>IF(O636="",0,P636*L636/'9b-Vloeronderhoud'!$F$6)</f>
        <v>#DIV/0!</v>
      </c>
      <c r="R636" s="449">
        <v>1</v>
      </c>
      <c r="S636" s="672">
        <v>190</v>
      </c>
      <c r="T636" s="161" t="e">
        <f t="shared" si="48"/>
        <v>#DIV/0!</v>
      </c>
      <c r="U636" s="162">
        <f>IF(S636="nio",0,IF(S636&gt;0,VLOOKUP(G636,'3-Productie normen'!A:K,VLOOKUP(S636,'3-Productie normen'!L:N,3,FALSE),FALSE)))</f>
        <v>0</v>
      </c>
      <c r="V636" s="162">
        <f>VLOOKUP(G636,'3-Productie normen'!A:K,10,FALSE)</f>
        <v>1859.5880019121171</v>
      </c>
      <c r="W636" s="163">
        <f>VLOOKUP(G636,'3-Productie normen'!A:K,11,FALSE)</f>
        <v>0</v>
      </c>
      <c r="X636" s="163"/>
      <c r="Z636" s="129">
        <f t="shared" si="49"/>
        <v>1615</v>
      </c>
    </row>
    <row r="637" spans="1:26" ht="14.1" customHeight="1">
      <c r="A637" s="144">
        <v>643</v>
      </c>
      <c r="B637" s="160" t="s">
        <v>929</v>
      </c>
      <c r="C637" s="160" t="s">
        <v>488</v>
      </c>
      <c r="D637" s="493" t="s">
        <v>419</v>
      </c>
      <c r="E637" s="712" t="s">
        <v>418</v>
      </c>
      <c r="F637" s="540" t="s">
        <v>221</v>
      </c>
      <c r="G637" s="460" t="s">
        <v>221</v>
      </c>
      <c r="H637" s="169" t="s">
        <v>100</v>
      </c>
      <c r="I637" s="582" t="str">
        <f>VLOOKUP(H637,'9a-Typen vloeren'!$A$10:$B$40,2,FALSE)</f>
        <v>Sprayen/ conserveren</v>
      </c>
      <c r="J637" s="590">
        <v>55.5</v>
      </c>
      <c r="K637" s="433">
        <f t="shared" si="45"/>
        <v>55.5</v>
      </c>
      <c r="L637" s="433">
        <f t="shared" si="46"/>
        <v>0</v>
      </c>
      <c r="M637" s="433">
        <f t="shared" si="47"/>
        <v>0</v>
      </c>
      <c r="N637" s="672"/>
      <c r="O637" s="729">
        <f>IF(N637="",0,N637*K637/'9b-Vloeronderhoud'!$F$4)</f>
        <v>0</v>
      </c>
      <c r="P637" s="672"/>
      <c r="Q637" s="729" t="e">
        <f>IF(O637="",0,P637*L637/'9b-Vloeronderhoud'!$F$6)</f>
        <v>#DIV/0!</v>
      </c>
      <c r="R637" s="449">
        <v>1</v>
      </c>
      <c r="S637" s="672">
        <v>80</v>
      </c>
      <c r="T637" s="161" t="e">
        <f t="shared" si="48"/>
        <v>#DIV/0!</v>
      </c>
      <c r="U637" s="162">
        <f>IF(S637="nio",0,IF(S637&gt;0,VLOOKUP(G637,'3-Productie normen'!A:K,VLOOKUP(S637,'3-Productie normen'!L:N,3,FALSE),FALSE)))</f>
        <v>0</v>
      </c>
      <c r="V637" s="162">
        <f>VLOOKUP(G637,'3-Productie normen'!A:K,10,FALSE)</f>
        <v>16013.110036668773</v>
      </c>
      <c r="W637" s="163">
        <f>VLOOKUP(G637,'3-Productie normen'!A:K,11,FALSE)</f>
        <v>0</v>
      </c>
      <c r="X637" s="163"/>
      <c r="Z637" s="129">
        <f t="shared" si="49"/>
        <v>4440</v>
      </c>
    </row>
    <row r="638" spans="1:26" ht="14.1" customHeight="1">
      <c r="A638" s="144">
        <v>644</v>
      </c>
      <c r="B638" s="160" t="s">
        <v>929</v>
      </c>
      <c r="C638" s="160" t="s">
        <v>488</v>
      </c>
      <c r="D638" s="493" t="s">
        <v>374</v>
      </c>
      <c r="E638" s="712" t="s">
        <v>351</v>
      </c>
      <c r="F638" s="492" t="s">
        <v>412</v>
      </c>
      <c r="G638" s="303" t="s">
        <v>287</v>
      </c>
      <c r="H638" s="169" t="s">
        <v>100</v>
      </c>
      <c r="I638" s="582" t="str">
        <f>VLOOKUP(H638,'9a-Typen vloeren'!$A$10:$B$40,2,FALSE)</f>
        <v>Sprayen/ conserveren</v>
      </c>
      <c r="J638" s="590">
        <v>3.5999999046325684</v>
      </c>
      <c r="K638" s="433">
        <f t="shared" si="45"/>
        <v>3.5999999046325684</v>
      </c>
      <c r="L638" s="433">
        <f t="shared" si="46"/>
        <v>0</v>
      </c>
      <c r="M638" s="433">
        <f t="shared" si="47"/>
        <v>0</v>
      </c>
      <c r="N638" s="672"/>
      <c r="O638" s="729">
        <f>IF(N638="",0,N638*K638/'9b-Vloeronderhoud'!$F$4)</f>
        <v>0</v>
      </c>
      <c r="P638" s="672"/>
      <c r="Q638" s="729" t="e">
        <f>IF(O638="",0,P638*L638/'9b-Vloeronderhoud'!$F$6)</f>
        <v>#DIV/0!</v>
      </c>
      <c r="R638" s="449">
        <v>1</v>
      </c>
      <c r="S638" s="672">
        <v>80</v>
      </c>
      <c r="T638" s="161" t="e">
        <f t="shared" si="48"/>
        <v>#DIV/0!</v>
      </c>
      <c r="U638" s="162">
        <f>IF(S638="nio",0,IF(S638&gt;0,VLOOKUP(G638,'3-Productie normen'!A:K,VLOOKUP(S638,'3-Productie normen'!L:N,3,FALSE),FALSE)))</f>
        <v>0</v>
      </c>
      <c r="V638" s="162">
        <f>VLOOKUP(G638,'3-Productie normen'!A:K,10,FALSE)</f>
        <v>519.460002565384</v>
      </c>
      <c r="W638" s="163">
        <f>VLOOKUP(G638,'3-Productie normen'!A:K,11,FALSE)</f>
        <v>0</v>
      </c>
      <c r="X638" s="163"/>
      <c r="Z638" s="129">
        <f t="shared" si="49"/>
        <v>287.99999237060547</v>
      </c>
    </row>
    <row r="639" spans="1:26" ht="14.1" customHeight="1">
      <c r="A639" s="144">
        <v>645</v>
      </c>
      <c r="B639" s="160" t="s">
        <v>929</v>
      </c>
      <c r="C639" s="160" t="s">
        <v>488</v>
      </c>
      <c r="D639" s="493" t="s">
        <v>374</v>
      </c>
      <c r="E639" s="712" t="s">
        <v>355</v>
      </c>
      <c r="F639" s="492" t="s">
        <v>283</v>
      </c>
      <c r="G639" s="122" t="s">
        <v>286</v>
      </c>
      <c r="H639" s="169" t="s">
        <v>100</v>
      </c>
      <c r="I639" s="582" t="str">
        <f>VLOOKUP(H639,'9a-Typen vloeren'!$A$10:$B$40,2,FALSE)</f>
        <v>Sprayen/ conserveren</v>
      </c>
      <c r="J639" s="590">
        <v>51.200000762939453</v>
      </c>
      <c r="K639" s="433">
        <f t="shared" si="45"/>
        <v>51.200000762939453</v>
      </c>
      <c r="L639" s="433">
        <f t="shared" si="46"/>
        <v>0</v>
      </c>
      <c r="M639" s="433">
        <f t="shared" si="47"/>
        <v>0</v>
      </c>
      <c r="N639" s="672">
        <v>2</v>
      </c>
      <c r="O639" s="729" t="e">
        <f>IF(N639="",0,N639*K639/'9b-Vloeronderhoud'!$F$4)</f>
        <v>#DIV/0!</v>
      </c>
      <c r="P639" s="672"/>
      <c r="Q639" s="729" t="e">
        <f>IF(O639="",0,P639*L639/'9b-Vloeronderhoud'!$F$6)</f>
        <v>#DIV/0!</v>
      </c>
      <c r="R639" s="449">
        <v>1</v>
      </c>
      <c r="S639" s="672">
        <v>120</v>
      </c>
      <c r="T639" s="161" t="e">
        <f t="shared" si="48"/>
        <v>#DIV/0!</v>
      </c>
      <c r="U639" s="162">
        <f>IF(S639="nio",0,IF(S639&gt;0,VLOOKUP(G639,'3-Productie normen'!A:K,VLOOKUP(S639,'3-Productie normen'!L:N,3,FALSE),FALSE)))</f>
        <v>0</v>
      </c>
      <c r="V639" s="162">
        <f>VLOOKUP(G639,'3-Productie normen'!A:K,10,FALSE)</f>
        <v>6152.9500017547598</v>
      </c>
      <c r="W639" s="163">
        <f>VLOOKUP(G639,'3-Productie normen'!A:K,11,FALSE)</f>
        <v>0</v>
      </c>
      <c r="X639" s="163"/>
      <c r="Z639" s="129">
        <f t="shared" si="49"/>
        <v>6144.0000915527344</v>
      </c>
    </row>
    <row r="640" spans="1:26" ht="14.1" customHeight="1">
      <c r="A640" s="144">
        <v>646</v>
      </c>
      <c r="B640" s="160" t="s">
        <v>929</v>
      </c>
      <c r="C640" s="160" t="s">
        <v>488</v>
      </c>
      <c r="D640" s="493" t="s">
        <v>374</v>
      </c>
      <c r="E640" s="712" t="s">
        <v>507</v>
      </c>
      <c r="F640" s="492" t="s">
        <v>344</v>
      </c>
      <c r="G640" s="533" t="s">
        <v>221</v>
      </c>
      <c r="H640" s="169" t="s">
        <v>100</v>
      </c>
      <c r="I640" s="582" t="str">
        <f>VLOOKUP(H640,'9a-Typen vloeren'!$A$10:$B$40,2,FALSE)</f>
        <v>Sprayen/ conserveren</v>
      </c>
      <c r="J640" s="590">
        <v>25.899999618530273</v>
      </c>
      <c r="K640" s="433">
        <f t="shared" si="45"/>
        <v>25.899999618530273</v>
      </c>
      <c r="L640" s="433">
        <f t="shared" si="46"/>
        <v>0</v>
      </c>
      <c r="M640" s="433">
        <f t="shared" si="47"/>
        <v>0</v>
      </c>
      <c r="N640" s="672"/>
      <c r="O640" s="729">
        <f>IF(N640="",0,N640*K640/'9b-Vloeronderhoud'!$F$4)</f>
        <v>0</v>
      </c>
      <c r="P640" s="672"/>
      <c r="Q640" s="729" t="e">
        <f>IF(O640="",0,P640*L640/'9b-Vloeronderhoud'!$F$6)</f>
        <v>#DIV/0!</v>
      </c>
      <c r="R640" s="449">
        <v>1</v>
      </c>
      <c r="S640" s="672">
        <v>80</v>
      </c>
      <c r="T640" s="161" t="e">
        <f t="shared" si="48"/>
        <v>#DIV/0!</v>
      </c>
      <c r="U640" s="162">
        <f>IF(S640="nio",0,IF(S640&gt;0,VLOOKUP(G640,'3-Productie normen'!A:K,VLOOKUP(S640,'3-Productie normen'!L:N,3,FALSE),FALSE)))</f>
        <v>0</v>
      </c>
      <c r="V640" s="162">
        <f>VLOOKUP(G640,'3-Productie normen'!A:K,10,FALSE)</f>
        <v>16013.110036668773</v>
      </c>
      <c r="W640" s="163">
        <f>VLOOKUP(G640,'3-Productie normen'!A:K,11,FALSE)</f>
        <v>0</v>
      </c>
      <c r="X640" s="163"/>
      <c r="Z640" s="129">
        <f t="shared" si="49"/>
        <v>2071.9999694824219</v>
      </c>
    </row>
    <row r="641" spans="1:26" ht="14.1" customHeight="1">
      <c r="A641" s="144">
        <v>647</v>
      </c>
      <c r="B641" s="160" t="s">
        <v>929</v>
      </c>
      <c r="C641" s="160" t="s">
        <v>488</v>
      </c>
      <c r="D641" s="493" t="s">
        <v>374</v>
      </c>
      <c r="E641" s="712" t="s">
        <v>352</v>
      </c>
      <c r="F641" s="492" t="s">
        <v>316</v>
      </c>
      <c r="G641" s="460" t="s">
        <v>881</v>
      </c>
      <c r="H641" s="169" t="s">
        <v>420</v>
      </c>
      <c r="I641" s="582" t="str">
        <f>VLOOKUP(H641,'9a-Typen vloeren'!$A$10:$B$40,2,FALSE)</f>
        <v>Schrobben</v>
      </c>
      <c r="J641" s="590">
        <v>18.299999237060547</v>
      </c>
      <c r="K641" s="433">
        <f t="shared" si="45"/>
        <v>0</v>
      </c>
      <c r="L641" s="433">
        <f t="shared" si="46"/>
        <v>0</v>
      </c>
      <c r="M641" s="433">
        <f t="shared" si="47"/>
        <v>0</v>
      </c>
      <c r="N641" s="672"/>
      <c r="O641" s="729">
        <f>IF(N641="",0,N641*K641/'9b-Vloeronderhoud'!$F$4)</f>
        <v>0</v>
      </c>
      <c r="P641" s="672"/>
      <c r="Q641" s="729" t="e">
        <f>IF(O641="",0,P641*L641/'9b-Vloeronderhoud'!$F$6)</f>
        <v>#DIV/0!</v>
      </c>
      <c r="R641" s="449">
        <v>1</v>
      </c>
      <c r="S641" s="672" t="s">
        <v>179</v>
      </c>
      <c r="T641" s="161">
        <f t="shared" si="48"/>
        <v>0</v>
      </c>
      <c r="U641" s="162">
        <f>IF(S641="nio",0,IF(S641&gt;0,VLOOKUP(G641,'3-Productie normen'!A:K,VLOOKUP(S641,'3-Productie normen'!L:N,3,FALSE),FALSE)))</f>
        <v>0</v>
      </c>
      <c r="V641" s="162">
        <f>VLOOKUP(G641,'3-Productie normen'!A:K,10,FALSE)</f>
        <v>5262.809993648526</v>
      </c>
      <c r="W641" s="163">
        <f>VLOOKUP(G641,'3-Productie normen'!A:K,11,FALSE)</f>
        <v>0</v>
      </c>
      <c r="X641" s="163"/>
      <c r="Z641" s="129">
        <f t="shared" si="49"/>
        <v>0</v>
      </c>
    </row>
    <row r="642" spans="1:26" ht="14.1" customHeight="1">
      <c r="A642" s="144">
        <v>648</v>
      </c>
      <c r="B642" s="160" t="s">
        <v>929</v>
      </c>
      <c r="C642" s="160" t="s">
        <v>488</v>
      </c>
      <c r="D642" s="493" t="s">
        <v>374</v>
      </c>
      <c r="E642" s="712" t="s">
        <v>354</v>
      </c>
      <c r="F642" s="492" t="s">
        <v>302</v>
      </c>
      <c r="G642" s="122" t="s">
        <v>18</v>
      </c>
      <c r="H642" s="534" t="s">
        <v>954</v>
      </c>
      <c r="I642" s="582" t="str">
        <f>VLOOKUP(H642,'9a-Typen vloeren'!$A$10:$B$40,2,FALSE)</f>
        <v>zie kwaliteitsontwerp</v>
      </c>
      <c r="J642" s="590">
        <v>9</v>
      </c>
      <c r="K642" s="433">
        <f t="shared" si="45"/>
        <v>0</v>
      </c>
      <c r="L642" s="433">
        <f t="shared" si="46"/>
        <v>0</v>
      </c>
      <c r="M642" s="433">
        <f t="shared" si="47"/>
        <v>0</v>
      </c>
      <c r="N642" s="672"/>
      <c r="O642" s="729">
        <f>IF(N642="",0,N642*K642/'9b-Vloeronderhoud'!$F$4)</f>
        <v>0</v>
      </c>
      <c r="P642" s="672"/>
      <c r="Q642" s="729" t="e">
        <f>IF(O642="",0,P642*L642/'9b-Vloeronderhoud'!$F$6)</f>
        <v>#DIV/0!</v>
      </c>
      <c r="R642" s="449">
        <v>1</v>
      </c>
      <c r="S642" s="672">
        <v>190</v>
      </c>
      <c r="T642" s="161" t="e">
        <f t="shared" si="48"/>
        <v>#DIV/0!</v>
      </c>
      <c r="U642" s="162">
        <f>IF(S642="nio",0,IF(S642&gt;0,VLOOKUP(G642,'3-Productie normen'!A:K,VLOOKUP(S642,'3-Productie normen'!L:N,3,FALSE),FALSE)))</f>
        <v>0</v>
      </c>
      <c r="V642" s="162">
        <f>VLOOKUP(G642,'3-Productie normen'!A:K,10,FALSE)</f>
        <v>1859.5880019121171</v>
      </c>
      <c r="W642" s="163">
        <f>VLOOKUP(G642,'3-Productie normen'!A:K,11,FALSE)</f>
        <v>0</v>
      </c>
      <c r="X642" s="163"/>
      <c r="Z642" s="129">
        <f t="shared" si="49"/>
        <v>1710</v>
      </c>
    </row>
    <row r="643" spans="1:26" ht="14.1" customHeight="1">
      <c r="A643" s="144">
        <v>649</v>
      </c>
      <c r="B643" s="160" t="s">
        <v>929</v>
      </c>
      <c r="C643" s="160" t="s">
        <v>488</v>
      </c>
      <c r="D643" s="493" t="s">
        <v>374</v>
      </c>
      <c r="E643" s="712" t="s">
        <v>356</v>
      </c>
      <c r="F643" s="492" t="s">
        <v>302</v>
      </c>
      <c r="G643" s="122" t="s">
        <v>18</v>
      </c>
      <c r="H643" s="534" t="s">
        <v>954</v>
      </c>
      <c r="I643" s="582" t="str">
        <f>VLOOKUP(H643,'9a-Typen vloeren'!$A$10:$B$40,2,FALSE)</f>
        <v>zie kwaliteitsontwerp</v>
      </c>
      <c r="J643" s="590">
        <v>9</v>
      </c>
      <c r="K643" s="433">
        <f t="shared" si="45"/>
        <v>0</v>
      </c>
      <c r="L643" s="433">
        <f t="shared" si="46"/>
        <v>0</v>
      </c>
      <c r="M643" s="433">
        <f t="shared" si="47"/>
        <v>0</v>
      </c>
      <c r="N643" s="672"/>
      <c r="O643" s="729">
        <f>IF(N643="",0,N643*K643/'9b-Vloeronderhoud'!$F$4)</f>
        <v>0</v>
      </c>
      <c r="P643" s="672"/>
      <c r="Q643" s="729" t="e">
        <f>IF(O643="",0,P643*L643/'9b-Vloeronderhoud'!$F$6)</f>
        <v>#DIV/0!</v>
      </c>
      <c r="R643" s="449">
        <v>1</v>
      </c>
      <c r="S643" s="672">
        <v>190</v>
      </c>
      <c r="T643" s="161" t="e">
        <f t="shared" si="48"/>
        <v>#DIV/0!</v>
      </c>
      <c r="U643" s="162">
        <f>IF(S643="nio",0,IF(S643&gt;0,VLOOKUP(G643,'3-Productie normen'!A:K,VLOOKUP(S643,'3-Productie normen'!L:N,3,FALSE),FALSE)))</f>
        <v>0</v>
      </c>
      <c r="V643" s="162">
        <f>VLOOKUP(G643,'3-Productie normen'!A:K,10,FALSE)</f>
        <v>1859.5880019121171</v>
      </c>
      <c r="W643" s="163">
        <f>VLOOKUP(G643,'3-Productie normen'!A:K,11,FALSE)</f>
        <v>0</v>
      </c>
      <c r="X643" s="163"/>
      <c r="Z643" s="129">
        <f t="shared" si="49"/>
        <v>1710</v>
      </c>
    </row>
    <row r="644" spans="1:26" ht="14.1" customHeight="1">
      <c r="A644" s="144">
        <v>650</v>
      </c>
      <c r="B644" s="160" t="s">
        <v>929</v>
      </c>
      <c r="C644" s="160" t="s">
        <v>488</v>
      </c>
      <c r="D644" s="493" t="s">
        <v>374</v>
      </c>
      <c r="E644" s="712" t="s">
        <v>361</v>
      </c>
      <c r="F644" s="492" t="s">
        <v>283</v>
      </c>
      <c r="G644" s="533" t="s">
        <v>286</v>
      </c>
      <c r="H644" s="169" t="s">
        <v>100</v>
      </c>
      <c r="I644" s="582" t="str">
        <f>VLOOKUP(H644,'9a-Typen vloeren'!$A$10:$B$40,2,FALSE)</f>
        <v>Sprayen/ conserveren</v>
      </c>
      <c r="J644" s="590">
        <v>21.700000762939453</v>
      </c>
      <c r="K644" s="433">
        <f t="shared" si="45"/>
        <v>21.700000762939453</v>
      </c>
      <c r="L644" s="433">
        <f t="shared" si="46"/>
        <v>0</v>
      </c>
      <c r="M644" s="433">
        <f t="shared" si="47"/>
        <v>0</v>
      </c>
      <c r="N644" s="672">
        <v>2</v>
      </c>
      <c r="O644" s="729" t="e">
        <f>IF(N644="",0,N644*K644/'9b-Vloeronderhoud'!$F$4)</f>
        <v>#DIV/0!</v>
      </c>
      <c r="P644" s="672"/>
      <c r="Q644" s="729" t="e">
        <f>IF(O644="",0,P644*L644/'9b-Vloeronderhoud'!$F$6)</f>
        <v>#DIV/0!</v>
      </c>
      <c r="R644" s="449">
        <v>1</v>
      </c>
      <c r="S644" s="672">
        <v>120</v>
      </c>
      <c r="T644" s="161" t="e">
        <f t="shared" si="48"/>
        <v>#DIV/0!</v>
      </c>
      <c r="U644" s="162">
        <f>IF(S644="nio",0,IF(S644&gt;0,VLOOKUP(G644,'3-Productie normen'!A:K,VLOOKUP(S644,'3-Productie normen'!L:N,3,FALSE),FALSE)))</f>
        <v>0</v>
      </c>
      <c r="V644" s="162">
        <f>VLOOKUP(G644,'3-Productie normen'!A:K,10,FALSE)</f>
        <v>6152.9500017547598</v>
      </c>
      <c r="W644" s="163">
        <f>VLOOKUP(G644,'3-Productie normen'!A:K,11,FALSE)</f>
        <v>0</v>
      </c>
      <c r="X644" s="163"/>
      <c r="Z644" s="129">
        <f t="shared" si="49"/>
        <v>2604.0000915527344</v>
      </c>
    </row>
    <row r="645" spans="1:26" ht="14.1" customHeight="1">
      <c r="A645" s="144">
        <v>651</v>
      </c>
      <c r="B645" s="160" t="s">
        <v>929</v>
      </c>
      <c r="C645" s="160" t="s">
        <v>488</v>
      </c>
      <c r="D645" s="493" t="s">
        <v>374</v>
      </c>
      <c r="E645" s="712" t="s">
        <v>358</v>
      </c>
      <c r="F645" s="492" t="s">
        <v>313</v>
      </c>
      <c r="G645" s="460" t="s">
        <v>881</v>
      </c>
      <c r="H645" s="169" t="s">
        <v>100</v>
      </c>
      <c r="I645" s="582" t="str">
        <f>VLOOKUP(H645,'9a-Typen vloeren'!$A$10:$B$40,2,FALSE)</f>
        <v>Sprayen/ conserveren</v>
      </c>
      <c r="J645" s="590">
        <v>12.399999618530273</v>
      </c>
      <c r="K645" s="433">
        <f t="shared" ref="K645:K708" si="50">IF(G645="niet in onderhoud",0,IF(I645="sprayen/ conserveren",J645,0))</f>
        <v>0</v>
      </c>
      <c r="L645" s="433">
        <f t="shared" ref="L645:L708" si="51">IF(G645="niet in onderhoud",0,IF(I645="schrobben",J645,0))</f>
        <v>0</v>
      </c>
      <c r="M645" s="433">
        <f t="shared" ref="M645:M708" si="52">IF(G645="niet in onderhoud",0,IF(I645="Sproei/extraheren",J645,0))</f>
        <v>0</v>
      </c>
      <c r="N645" s="672"/>
      <c r="O645" s="729">
        <f>IF(N645="",0,N645*K645/'9b-Vloeronderhoud'!$F$4)</f>
        <v>0</v>
      </c>
      <c r="P645" s="672"/>
      <c r="Q645" s="729" t="e">
        <f>IF(O645="",0,P645*L645/'9b-Vloeronderhoud'!$F$6)</f>
        <v>#DIV/0!</v>
      </c>
      <c r="R645" s="449">
        <v>1</v>
      </c>
      <c r="S645" s="672" t="s">
        <v>179</v>
      </c>
      <c r="T645" s="161">
        <f t="shared" si="48"/>
        <v>0</v>
      </c>
      <c r="U645" s="162">
        <f>IF(S645="nio",0,IF(S645&gt;0,VLOOKUP(G645,'3-Productie normen'!A:K,VLOOKUP(S645,'3-Productie normen'!L:N,3,FALSE),FALSE)))</f>
        <v>0</v>
      </c>
      <c r="V645" s="162">
        <f>VLOOKUP(G645,'3-Productie normen'!A:K,10,FALSE)</f>
        <v>5262.809993648526</v>
      </c>
      <c r="W645" s="163">
        <f>VLOOKUP(G645,'3-Productie normen'!A:K,11,FALSE)</f>
        <v>0</v>
      </c>
      <c r="X645" s="163"/>
      <c r="Z645" s="129">
        <f t="shared" si="49"/>
        <v>0</v>
      </c>
    </row>
    <row r="646" spans="1:26" ht="14.1" customHeight="1">
      <c r="A646" s="144">
        <v>652</v>
      </c>
      <c r="B646" s="160" t="s">
        <v>929</v>
      </c>
      <c r="C646" s="160" t="s">
        <v>488</v>
      </c>
      <c r="D646" s="493" t="s">
        <v>374</v>
      </c>
      <c r="E646" s="712" t="s">
        <v>359</v>
      </c>
      <c r="F646" s="492" t="s">
        <v>412</v>
      </c>
      <c r="G646" s="122" t="s">
        <v>287</v>
      </c>
      <c r="H646" s="169" t="s">
        <v>100</v>
      </c>
      <c r="I646" s="582" t="str">
        <f>VLOOKUP(H646,'9a-Typen vloeren'!$A$10:$B$40,2,FALSE)</f>
        <v>Sprayen/ conserveren</v>
      </c>
      <c r="J646" s="590">
        <v>3.5999999046325684</v>
      </c>
      <c r="K646" s="433">
        <f t="shared" si="50"/>
        <v>3.5999999046325684</v>
      </c>
      <c r="L646" s="433">
        <f t="shared" si="51"/>
        <v>0</v>
      </c>
      <c r="M646" s="433">
        <f t="shared" si="52"/>
        <v>0</v>
      </c>
      <c r="N646" s="672"/>
      <c r="O646" s="729">
        <f>IF(N646="",0,N646*K646/'9b-Vloeronderhoud'!$F$4)</f>
        <v>0</v>
      </c>
      <c r="P646" s="672"/>
      <c r="Q646" s="729" t="e">
        <f>IF(O646="",0,P646*L646/'9b-Vloeronderhoud'!$F$6)</f>
        <v>#DIV/0!</v>
      </c>
      <c r="R646" s="449">
        <v>1</v>
      </c>
      <c r="S646" s="672">
        <v>80</v>
      </c>
      <c r="T646" s="161" t="e">
        <f t="shared" si="48"/>
        <v>#DIV/0!</v>
      </c>
      <c r="U646" s="162">
        <f>IF(S646="nio",0,IF(S646&gt;0,VLOOKUP(G646,'3-Productie normen'!A:K,VLOOKUP(S646,'3-Productie normen'!L:N,3,FALSE),FALSE)))</f>
        <v>0</v>
      </c>
      <c r="V646" s="162">
        <f>VLOOKUP(G646,'3-Productie normen'!A:K,10,FALSE)</f>
        <v>519.460002565384</v>
      </c>
      <c r="W646" s="163">
        <f>VLOOKUP(G646,'3-Productie normen'!A:K,11,FALSE)</f>
        <v>0</v>
      </c>
      <c r="X646" s="163"/>
      <c r="Z646" s="129">
        <f t="shared" si="49"/>
        <v>287.99999237060547</v>
      </c>
    </row>
    <row r="647" spans="1:26" ht="14.1" customHeight="1">
      <c r="A647" s="144">
        <v>653</v>
      </c>
      <c r="B647" s="160" t="s">
        <v>929</v>
      </c>
      <c r="C647" s="160" t="s">
        <v>488</v>
      </c>
      <c r="D647" s="493" t="s">
        <v>374</v>
      </c>
      <c r="E647" s="712" t="s">
        <v>363</v>
      </c>
      <c r="F647" s="492" t="s">
        <v>221</v>
      </c>
      <c r="G647" s="303" t="s">
        <v>221</v>
      </c>
      <c r="H647" s="169" t="s">
        <v>100</v>
      </c>
      <c r="I647" s="582" t="str">
        <f>VLOOKUP(H647,'9a-Typen vloeren'!$A$10:$B$40,2,FALSE)</f>
        <v>Sprayen/ conserveren</v>
      </c>
      <c r="J647" s="590">
        <v>37.799999999999997</v>
      </c>
      <c r="K647" s="433">
        <f t="shared" si="50"/>
        <v>37.799999999999997</v>
      </c>
      <c r="L647" s="433">
        <f t="shared" si="51"/>
        <v>0</v>
      </c>
      <c r="M647" s="433">
        <f t="shared" si="52"/>
        <v>0</v>
      </c>
      <c r="N647" s="672"/>
      <c r="O647" s="729">
        <f>IF(N647="",0,N647*K647/'9b-Vloeronderhoud'!$F$4)</f>
        <v>0</v>
      </c>
      <c r="P647" s="672"/>
      <c r="Q647" s="729" t="e">
        <f>IF(O647="",0,P647*L647/'9b-Vloeronderhoud'!$F$6)</f>
        <v>#DIV/0!</v>
      </c>
      <c r="R647" s="449">
        <v>1</v>
      </c>
      <c r="S647" s="672">
        <v>80</v>
      </c>
      <c r="T647" s="161" t="e">
        <f t="shared" si="48"/>
        <v>#DIV/0!</v>
      </c>
      <c r="U647" s="162">
        <f>IF(S647="nio",0,IF(S647&gt;0,VLOOKUP(G647,'3-Productie normen'!A:K,VLOOKUP(S647,'3-Productie normen'!L:N,3,FALSE),FALSE)))</f>
        <v>0</v>
      </c>
      <c r="V647" s="162">
        <f>VLOOKUP(G647,'3-Productie normen'!A:K,10,FALSE)</f>
        <v>16013.110036668773</v>
      </c>
      <c r="W647" s="163">
        <f>VLOOKUP(G647,'3-Productie normen'!A:K,11,FALSE)</f>
        <v>0</v>
      </c>
      <c r="X647" s="163"/>
      <c r="Z647" s="129">
        <f t="shared" si="49"/>
        <v>3024</v>
      </c>
    </row>
    <row r="648" spans="1:26" ht="14.1" customHeight="1">
      <c r="A648" s="144">
        <v>654</v>
      </c>
      <c r="B648" s="160" t="s">
        <v>929</v>
      </c>
      <c r="C648" s="160" t="s">
        <v>488</v>
      </c>
      <c r="D648" s="493" t="s">
        <v>374</v>
      </c>
      <c r="E648" s="712" t="s">
        <v>364</v>
      </c>
      <c r="F648" s="492" t="s">
        <v>221</v>
      </c>
      <c r="G648" s="303" t="s">
        <v>221</v>
      </c>
      <c r="H648" s="169" t="s">
        <v>100</v>
      </c>
      <c r="I648" s="582" t="str">
        <f>VLOOKUP(H648,'9a-Typen vloeren'!$A$10:$B$40,2,FALSE)</f>
        <v>Sprayen/ conserveren</v>
      </c>
      <c r="J648" s="590">
        <v>57</v>
      </c>
      <c r="K648" s="433">
        <f t="shared" si="50"/>
        <v>57</v>
      </c>
      <c r="L648" s="433">
        <f t="shared" si="51"/>
        <v>0</v>
      </c>
      <c r="M648" s="433">
        <f t="shared" si="52"/>
        <v>0</v>
      </c>
      <c r="N648" s="672"/>
      <c r="O648" s="729">
        <f>IF(N648="",0,N648*K648/'9b-Vloeronderhoud'!$F$4)</f>
        <v>0</v>
      </c>
      <c r="P648" s="672"/>
      <c r="Q648" s="729" t="e">
        <f>IF(O648="",0,P648*L648/'9b-Vloeronderhoud'!$F$6)</f>
        <v>#DIV/0!</v>
      </c>
      <c r="R648" s="449">
        <v>1</v>
      </c>
      <c r="S648" s="688" t="s">
        <v>179</v>
      </c>
      <c r="T648" s="161">
        <f t="shared" si="48"/>
        <v>0</v>
      </c>
      <c r="U648" s="162">
        <f>IF(S648="nio",0,IF(S648&gt;0,VLOOKUP(G648,'3-Productie normen'!A:K,VLOOKUP(S648,'3-Productie normen'!L:N,3,FALSE),FALSE)))</f>
        <v>0</v>
      </c>
      <c r="V648" s="162">
        <f>VLOOKUP(G648,'3-Productie normen'!A:K,10,FALSE)</f>
        <v>16013.110036668773</v>
      </c>
      <c r="W648" s="163">
        <f>VLOOKUP(G648,'3-Productie normen'!A:K,11,FALSE)</f>
        <v>0</v>
      </c>
      <c r="X648" s="163"/>
      <c r="Z648" s="129">
        <f t="shared" si="49"/>
        <v>0</v>
      </c>
    </row>
    <row r="649" spans="1:26" ht="14.1" customHeight="1">
      <c r="A649" s="144">
        <v>655</v>
      </c>
      <c r="B649" s="160" t="s">
        <v>929</v>
      </c>
      <c r="C649" s="160" t="s">
        <v>488</v>
      </c>
      <c r="D649" s="493" t="s">
        <v>374</v>
      </c>
      <c r="E649" s="712" t="s">
        <v>366</v>
      </c>
      <c r="F649" s="492" t="s">
        <v>221</v>
      </c>
      <c r="G649" s="546" t="s">
        <v>221</v>
      </c>
      <c r="H649" s="169" t="s">
        <v>100</v>
      </c>
      <c r="I649" s="582" t="str">
        <f>VLOOKUP(H649,'9a-Typen vloeren'!$A$10:$B$40,2,FALSE)</f>
        <v>Sprayen/ conserveren</v>
      </c>
      <c r="J649" s="590">
        <v>57</v>
      </c>
      <c r="K649" s="433">
        <f t="shared" si="50"/>
        <v>57</v>
      </c>
      <c r="L649" s="433">
        <f t="shared" si="51"/>
        <v>0</v>
      </c>
      <c r="M649" s="433">
        <f t="shared" si="52"/>
        <v>0</v>
      </c>
      <c r="N649" s="672"/>
      <c r="O649" s="729">
        <f>IF(N649="",0,N649*K649/'9b-Vloeronderhoud'!$F$4)</f>
        <v>0</v>
      </c>
      <c r="P649" s="672"/>
      <c r="Q649" s="729" t="e">
        <f>IF(O649="",0,P649*L649/'9b-Vloeronderhoud'!$F$6)</f>
        <v>#DIV/0!</v>
      </c>
      <c r="R649" s="449">
        <v>1</v>
      </c>
      <c r="S649" s="688" t="s">
        <v>179</v>
      </c>
      <c r="T649" s="161">
        <f t="shared" si="48"/>
        <v>0</v>
      </c>
      <c r="U649" s="162">
        <f>IF(S649="nio",0,IF(S649&gt;0,VLOOKUP(G649,'3-Productie normen'!A:K,VLOOKUP(S649,'3-Productie normen'!L:N,3,FALSE),FALSE)))</f>
        <v>0</v>
      </c>
      <c r="V649" s="162">
        <f>VLOOKUP(G649,'3-Productie normen'!A:K,10,FALSE)</f>
        <v>16013.110036668773</v>
      </c>
      <c r="W649" s="163">
        <f>VLOOKUP(G649,'3-Productie normen'!A:K,11,FALSE)</f>
        <v>0</v>
      </c>
      <c r="X649" s="163"/>
      <c r="Z649" s="129">
        <f t="shared" si="49"/>
        <v>0</v>
      </c>
    </row>
    <row r="650" spans="1:26" ht="14.1" customHeight="1">
      <c r="A650" s="144">
        <v>656</v>
      </c>
      <c r="B650" s="160" t="s">
        <v>929</v>
      </c>
      <c r="C650" s="160" t="s">
        <v>488</v>
      </c>
      <c r="D650" s="493" t="s">
        <v>374</v>
      </c>
      <c r="E650" s="712" t="s">
        <v>367</v>
      </c>
      <c r="F650" s="492" t="s">
        <v>221</v>
      </c>
      <c r="G650" s="460" t="s">
        <v>221</v>
      </c>
      <c r="H650" s="169" t="s">
        <v>100</v>
      </c>
      <c r="I650" s="582" t="str">
        <f>VLOOKUP(H650,'9a-Typen vloeren'!$A$10:$B$40,2,FALSE)</f>
        <v>Sprayen/ conserveren</v>
      </c>
      <c r="J650" s="590">
        <v>57</v>
      </c>
      <c r="K650" s="433">
        <f t="shared" si="50"/>
        <v>57</v>
      </c>
      <c r="L650" s="433">
        <f t="shared" si="51"/>
        <v>0</v>
      </c>
      <c r="M650" s="433">
        <f t="shared" si="52"/>
        <v>0</v>
      </c>
      <c r="N650" s="672"/>
      <c r="O650" s="729">
        <f>IF(N650="",0,N650*K650/'9b-Vloeronderhoud'!$F$4)</f>
        <v>0</v>
      </c>
      <c r="P650" s="672"/>
      <c r="Q650" s="729" t="e">
        <f>IF(O650="",0,P650*L650/'9b-Vloeronderhoud'!$F$6)</f>
        <v>#DIV/0!</v>
      </c>
      <c r="R650" s="449">
        <v>1</v>
      </c>
      <c r="S650" s="672">
        <v>80</v>
      </c>
      <c r="T650" s="161" t="e">
        <f t="shared" ref="T650:T713" si="53">IF(S650="nio",0,IF(S650&gt;0,S650*J650/U650,0))*R650</f>
        <v>#DIV/0!</v>
      </c>
      <c r="U650" s="162">
        <f>IF(S650="nio",0,IF(S650&gt;0,VLOOKUP(G650,'3-Productie normen'!A:K,VLOOKUP(S650,'3-Productie normen'!L:N,3,FALSE),FALSE)))</f>
        <v>0</v>
      </c>
      <c r="V650" s="162">
        <f>VLOOKUP(G650,'3-Productie normen'!A:K,10,FALSE)</f>
        <v>16013.110036668773</v>
      </c>
      <c r="W650" s="163">
        <f>VLOOKUP(G650,'3-Productie normen'!A:K,11,FALSE)</f>
        <v>0</v>
      </c>
      <c r="X650" s="163"/>
      <c r="Z650" s="129">
        <f t="shared" ref="Z650:Z713" si="54">SUM(S650:S650)*J650</f>
        <v>4560</v>
      </c>
    </row>
    <row r="651" spans="1:26" ht="14.1" customHeight="1">
      <c r="A651" s="144">
        <v>657</v>
      </c>
      <c r="B651" s="160" t="s">
        <v>929</v>
      </c>
      <c r="C651" s="160" t="s">
        <v>488</v>
      </c>
      <c r="D651" s="493" t="s">
        <v>374</v>
      </c>
      <c r="E651" s="712" t="s">
        <v>368</v>
      </c>
      <c r="F651" s="492" t="s">
        <v>221</v>
      </c>
      <c r="G651" s="303" t="s">
        <v>221</v>
      </c>
      <c r="H651" s="169" t="s">
        <v>100</v>
      </c>
      <c r="I651" s="582" t="str">
        <f>VLOOKUP(H651,'9a-Typen vloeren'!$A$10:$B$40,2,FALSE)</f>
        <v>Sprayen/ conserveren</v>
      </c>
      <c r="J651" s="590">
        <v>56</v>
      </c>
      <c r="K651" s="433">
        <f t="shared" si="50"/>
        <v>56</v>
      </c>
      <c r="L651" s="433">
        <f t="shared" si="51"/>
        <v>0</v>
      </c>
      <c r="M651" s="433">
        <f t="shared" si="52"/>
        <v>0</v>
      </c>
      <c r="N651" s="672"/>
      <c r="O651" s="729">
        <f>IF(N651="",0,N651*K651/'9b-Vloeronderhoud'!$F$4)</f>
        <v>0</v>
      </c>
      <c r="P651" s="672"/>
      <c r="Q651" s="729" t="e">
        <f>IF(O651="",0,P651*L651/'9b-Vloeronderhoud'!$F$6)</f>
        <v>#DIV/0!</v>
      </c>
      <c r="R651" s="449">
        <v>1</v>
      </c>
      <c r="S651" s="672">
        <v>80</v>
      </c>
      <c r="T651" s="161" t="e">
        <f t="shared" si="53"/>
        <v>#DIV/0!</v>
      </c>
      <c r="U651" s="162">
        <f>IF(S651="nio",0,IF(S651&gt;0,VLOOKUP(G651,'3-Productie normen'!A:K,VLOOKUP(S651,'3-Productie normen'!L:N,3,FALSE),FALSE)))</f>
        <v>0</v>
      </c>
      <c r="V651" s="162">
        <f>VLOOKUP(G651,'3-Productie normen'!A:K,10,FALSE)</f>
        <v>16013.110036668773</v>
      </c>
      <c r="W651" s="163">
        <f>VLOOKUP(G651,'3-Productie normen'!A:K,11,FALSE)</f>
        <v>0</v>
      </c>
      <c r="X651" s="163"/>
      <c r="Z651" s="129">
        <f t="shared" si="54"/>
        <v>4480</v>
      </c>
    </row>
    <row r="652" spans="1:26" ht="14.1" customHeight="1">
      <c r="A652" s="144">
        <v>658</v>
      </c>
      <c r="B652" s="160" t="s">
        <v>929</v>
      </c>
      <c r="C652" s="160" t="s">
        <v>488</v>
      </c>
      <c r="D652" s="493" t="s">
        <v>374</v>
      </c>
      <c r="E652" s="712" t="s">
        <v>369</v>
      </c>
      <c r="F652" s="492" t="s">
        <v>297</v>
      </c>
      <c r="G652" s="460" t="s">
        <v>189</v>
      </c>
      <c r="H652" s="169" t="s">
        <v>100</v>
      </c>
      <c r="I652" s="582" t="str">
        <f>VLOOKUP(H652,'9a-Typen vloeren'!$A$10:$B$40,2,FALSE)</f>
        <v>Sprayen/ conserveren</v>
      </c>
      <c r="J652" s="590">
        <v>13</v>
      </c>
      <c r="K652" s="433">
        <f t="shared" si="50"/>
        <v>13</v>
      </c>
      <c r="L652" s="433">
        <f t="shared" si="51"/>
        <v>0</v>
      </c>
      <c r="M652" s="433">
        <f t="shared" si="52"/>
        <v>0</v>
      </c>
      <c r="N652" s="672"/>
      <c r="O652" s="729">
        <f>IF(N652="",0,N652*K652/'9b-Vloeronderhoud'!$F$4)</f>
        <v>0</v>
      </c>
      <c r="P652" s="672"/>
      <c r="Q652" s="729" t="e">
        <f>IF(O652="",0,P652*L652/'9b-Vloeronderhoud'!$F$6)</f>
        <v>#DIV/0!</v>
      </c>
      <c r="R652" s="449">
        <v>1</v>
      </c>
      <c r="S652" s="672">
        <v>40</v>
      </c>
      <c r="T652" s="161" t="e">
        <f t="shared" si="53"/>
        <v>#DIV/0!</v>
      </c>
      <c r="U652" s="162">
        <f>IF(S652="nio",0,IF(S652&gt;0,VLOOKUP(G652,'3-Productie normen'!A:K,VLOOKUP(S652,'3-Productie normen'!L:N,3,FALSE),FALSE)))</f>
        <v>0</v>
      </c>
      <c r="V652" s="162">
        <f>VLOOKUP(G652,'3-Productie normen'!A:K,10,FALSE)</f>
        <v>1494.1700078582762</v>
      </c>
      <c r="W652" s="163">
        <f>VLOOKUP(G652,'3-Productie normen'!A:K,11,FALSE)</f>
        <v>0</v>
      </c>
      <c r="X652" s="163"/>
      <c r="Z652" s="129">
        <f t="shared" si="54"/>
        <v>520</v>
      </c>
    </row>
    <row r="653" spans="1:26" ht="14.1" customHeight="1">
      <c r="A653" s="144">
        <v>659</v>
      </c>
      <c r="B653" s="160" t="s">
        <v>277</v>
      </c>
      <c r="C653" s="160" t="s">
        <v>488</v>
      </c>
      <c r="D653" s="493" t="s">
        <v>98</v>
      </c>
      <c r="E653" s="712" t="s">
        <v>305</v>
      </c>
      <c r="F653" s="492" t="s">
        <v>489</v>
      </c>
      <c r="G653" s="460" t="s">
        <v>99</v>
      </c>
      <c r="H653" s="169" t="s">
        <v>100</v>
      </c>
      <c r="I653" s="582" t="str">
        <f>VLOOKUP(H653,'9a-Typen vloeren'!$A$10:$B$40,2,FALSE)</f>
        <v>Sprayen/ conserveren</v>
      </c>
      <c r="J653" s="590">
        <v>5.9</v>
      </c>
      <c r="K653" s="433">
        <f t="shared" si="50"/>
        <v>5.9</v>
      </c>
      <c r="L653" s="433">
        <f t="shared" si="51"/>
        <v>0</v>
      </c>
      <c r="M653" s="433">
        <f t="shared" si="52"/>
        <v>0</v>
      </c>
      <c r="N653" s="672">
        <v>2</v>
      </c>
      <c r="O653" s="729" t="e">
        <f>IF(N653="",0,N653*K653/'9b-Vloeronderhoud'!$F$4)</f>
        <v>#DIV/0!</v>
      </c>
      <c r="P653" s="672"/>
      <c r="Q653" s="729" t="e">
        <f>IF(O653="",0,P653*L653/'9b-Vloeronderhoud'!$F$6)</f>
        <v>#DIV/0!</v>
      </c>
      <c r="R653" s="449">
        <v>1</v>
      </c>
      <c r="S653" s="672">
        <v>80</v>
      </c>
      <c r="T653" s="161" t="e">
        <f t="shared" si="53"/>
        <v>#DIV/0!</v>
      </c>
      <c r="U653" s="162">
        <f>IF(S653="nio",0,IF(S653&gt;0,VLOOKUP(G653,'3-Productie normen'!A:K,VLOOKUP(S653,'3-Productie normen'!L:N,3,FALSE),FALSE)))</f>
        <v>0</v>
      </c>
      <c r="V653" s="162">
        <f>VLOOKUP(G653,'3-Productie normen'!A:K,10,FALSE)</f>
        <v>726.97999910354622</v>
      </c>
      <c r="W653" s="163">
        <f>VLOOKUP(G653,'3-Productie normen'!A:K,11,FALSE)</f>
        <v>0</v>
      </c>
      <c r="X653" s="163"/>
      <c r="Z653" s="129">
        <f t="shared" si="54"/>
        <v>472</v>
      </c>
    </row>
    <row r="654" spans="1:26" ht="14.1" customHeight="1">
      <c r="A654" s="144">
        <v>660</v>
      </c>
      <c r="B654" s="160" t="s">
        <v>277</v>
      </c>
      <c r="C654" s="160" t="s">
        <v>488</v>
      </c>
      <c r="D654" s="493" t="s">
        <v>98</v>
      </c>
      <c r="E654" s="712" t="s">
        <v>491</v>
      </c>
      <c r="F654" s="492" t="s">
        <v>492</v>
      </c>
      <c r="G654" s="460" t="s">
        <v>881</v>
      </c>
      <c r="H654" s="169" t="s">
        <v>100</v>
      </c>
      <c r="I654" s="582" t="str">
        <f>VLOOKUP(H654,'9a-Typen vloeren'!$A$10:$B$40,2,FALSE)</f>
        <v>Sprayen/ conserveren</v>
      </c>
      <c r="J654" s="590">
        <v>4.5</v>
      </c>
      <c r="K654" s="433">
        <f t="shared" si="50"/>
        <v>0</v>
      </c>
      <c r="L654" s="433">
        <f t="shared" si="51"/>
        <v>0</v>
      </c>
      <c r="M654" s="433">
        <f t="shared" si="52"/>
        <v>0</v>
      </c>
      <c r="N654" s="672"/>
      <c r="O654" s="729">
        <f>IF(N654="",0,N654*K654/'9b-Vloeronderhoud'!$F$4)</f>
        <v>0</v>
      </c>
      <c r="P654" s="672"/>
      <c r="Q654" s="729" t="e">
        <f>IF(O654="",0,P654*L654/'9b-Vloeronderhoud'!$F$6)</f>
        <v>#DIV/0!</v>
      </c>
      <c r="R654" s="449">
        <v>1</v>
      </c>
      <c r="S654" s="672" t="s">
        <v>179</v>
      </c>
      <c r="T654" s="161">
        <f t="shared" si="53"/>
        <v>0</v>
      </c>
      <c r="U654" s="162">
        <f>IF(S654="nio",0,IF(S654&gt;0,VLOOKUP(G654,'3-Productie normen'!A:K,VLOOKUP(S654,'3-Productie normen'!L:N,3,FALSE),FALSE)))</f>
        <v>0</v>
      </c>
      <c r="V654" s="162">
        <f>VLOOKUP(G654,'3-Productie normen'!A:K,10,FALSE)</f>
        <v>5262.809993648526</v>
      </c>
      <c r="W654" s="163">
        <f>VLOOKUP(G654,'3-Productie normen'!A:K,11,FALSE)</f>
        <v>0</v>
      </c>
      <c r="X654" s="163"/>
      <c r="Z654" s="129">
        <f t="shared" si="54"/>
        <v>0</v>
      </c>
    </row>
    <row r="655" spans="1:26" ht="14.1" customHeight="1">
      <c r="A655" s="144">
        <v>661</v>
      </c>
      <c r="B655" s="160" t="s">
        <v>277</v>
      </c>
      <c r="C655" s="160" t="s">
        <v>488</v>
      </c>
      <c r="D655" s="493" t="s">
        <v>98</v>
      </c>
      <c r="E655" s="712" t="s">
        <v>493</v>
      </c>
      <c r="F655" s="492" t="s">
        <v>466</v>
      </c>
      <c r="G655" s="460" t="s">
        <v>881</v>
      </c>
      <c r="H655" s="169" t="s">
        <v>100</v>
      </c>
      <c r="I655" s="582" t="str">
        <f>VLOOKUP(H655,'9a-Typen vloeren'!$A$10:$B$40,2,FALSE)</f>
        <v>Sprayen/ conserveren</v>
      </c>
      <c r="J655" s="590">
        <v>8.6</v>
      </c>
      <c r="K655" s="433">
        <f t="shared" si="50"/>
        <v>0</v>
      </c>
      <c r="L655" s="433">
        <f t="shared" si="51"/>
        <v>0</v>
      </c>
      <c r="M655" s="433">
        <f t="shared" si="52"/>
        <v>0</v>
      </c>
      <c r="N655" s="672"/>
      <c r="O655" s="729">
        <f>IF(N655="",0,N655*K655/'9b-Vloeronderhoud'!$F$4)</f>
        <v>0</v>
      </c>
      <c r="P655" s="672"/>
      <c r="Q655" s="729" t="e">
        <f>IF(O655="",0,P655*L655/'9b-Vloeronderhoud'!$F$6)</f>
        <v>#DIV/0!</v>
      </c>
      <c r="R655" s="449">
        <v>1</v>
      </c>
      <c r="S655" s="672" t="s">
        <v>179</v>
      </c>
      <c r="T655" s="161">
        <f t="shared" si="53"/>
        <v>0</v>
      </c>
      <c r="U655" s="162">
        <f>IF(S655="nio",0,IF(S655&gt;0,VLOOKUP(G655,'3-Productie normen'!A:K,VLOOKUP(S655,'3-Productie normen'!L:N,3,FALSE),FALSE)))</f>
        <v>0</v>
      </c>
      <c r="V655" s="162">
        <f>VLOOKUP(G655,'3-Productie normen'!A:K,10,FALSE)</f>
        <v>5262.809993648526</v>
      </c>
      <c r="W655" s="163">
        <f>VLOOKUP(G655,'3-Productie normen'!A:K,11,FALSE)</f>
        <v>0</v>
      </c>
      <c r="X655" s="163"/>
      <c r="Z655" s="129">
        <f t="shared" si="54"/>
        <v>0</v>
      </c>
    </row>
    <row r="656" spans="1:26" ht="14.1" customHeight="1">
      <c r="A656" s="144">
        <v>662</v>
      </c>
      <c r="B656" s="108" t="s">
        <v>277</v>
      </c>
      <c r="C656" s="160" t="s">
        <v>488</v>
      </c>
      <c r="D656" s="493" t="s">
        <v>98</v>
      </c>
      <c r="E656" s="712" t="s">
        <v>494</v>
      </c>
      <c r="F656" s="492" t="s">
        <v>495</v>
      </c>
      <c r="G656" s="460" t="s">
        <v>421</v>
      </c>
      <c r="H656" s="169" t="s">
        <v>100</v>
      </c>
      <c r="I656" s="582" t="str">
        <f>VLOOKUP(H656,'9a-Typen vloeren'!$A$10:$B$40,2,FALSE)</f>
        <v>Sprayen/ conserveren</v>
      </c>
      <c r="J656" s="669">
        <v>22.4</v>
      </c>
      <c r="K656" s="433">
        <f t="shared" si="50"/>
        <v>22.4</v>
      </c>
      <c r="L656" s="433">
        <f t="shared" si="51"/>
        <v>0</v>
      </c>
      <c r="M656" s="433">
        <f t="shared" si="52"/>
        <v>0</v>
      </c>
      <c r="N656" s="672"/>
      <c r="O656" s="729">
        <f>IF(N656="",0,N656*K656/'9b-Vloeronderhoud'!$F$4)</f>
        <v>0</v>
      </c>
      <c r="P656" s="672"/>
      <c r="Q656" s="729" t="e">
        <f>IF(O656="",0,P656*L656/'9b-Vloeronderhoud'!$F$6)</f>
        <v>#DIV/0!</v>
      </c>
      <c r="R656" s="449">
        <v>1</v>
      </c>
      <c r="S656" s="672">
        <v>40</v>
      </c>
      <c r="T656" s="161" t="e">
        <f t="shared" si="53"/>
        <v>#DIV/0!</v>
      </c>
      <c r="U656" s="162">
        <f>IF(S656="nio",0,IF(S656&gt;0,VLOOKUP(G656,'3-Productie normen'!A:K,VLOOKUP(S656,'3-Productie normen'!L:N,3,FALSE),FALSE)))</f>
        <v>0</v>
      </c>
      <c r="V656" s="162">
        <f>VLOOKUP(G656,'3-Productie normen'!A:K,10,FALSE)</f>
        <v>865.11000061035156</v>
      </c>
      <c r="W656" s="163">
        <f>VLOOKUP(G656,'3-Productie normen'!A:K,11,FALSE)</f>
        <v>0</v>
      </c>
      <c r="X656" s="163"/>
      <c r="Z656" s="129">
        <f t="shared" si="54"/>
        <v>896</v>
      </c>
    </row>
    <row r="657" spans="1:26" ht="14.1" customHeight="1">
      <c r="A657" s="144">
        <v>663</v>
      </c>
      <c r="B657" s="108" t="s">
        <v>277</v>
      </c>
      <c r="C657" s="160" t="s">
        <v>488</v>
      </c>
      <c r="D657" s="493" t="s">
        <v>98</v>
      </c>
      <c r="E657" s="712" t="s">
        <v>497</v>
      </c>
      <c r="F657" s="492" t="s">
        <v>496</v>
      </c>
      <c r="G657" s="460" t="s">
        <v>190</v>
      </c>
      <c r="H657" s="169" t="s">
        <v>100</v>
      </c>
      <c r="I657" s="582" t="str">
        <f>VLOOKUP(H657,'9a-Typen vloeren'!$A$10:$B$40,2,FALSE)</f>
        <v>Sprayen/ conserveren</v>
      </c>
      <c r="J657" s="669">
        <v>13.9</v>
      </c>
      <c r="K657" s="433">
        <f t="shared" si="50"/>
        <v>13.9</v>
      </c>
      <c r="L657" s="433">
        <f t="shared" si="51"/>
        <v>0</v>
      </c>
      <c r="M657" s="433">
        <f t="shared" si="52"/>
        <v>0</v>
      </c>
      <c r="N657" s="672">
        <v>2</v>
      </c>
      <c r="O657" s="729" t="e">
        <f>IF(N657="",0,N657*K657/'9b-Vloeronderhoud'!$F$4)</f>
        <v>#DIV/0!</v>
      </c>
      <c r="P657" s="672"/>
      <c r="Q657" s="729" t="e">
        <f>IF(O657="",0,P657*L657/'9b-Vloeronderhoud'!$F$6)</f>
        <v>#DIV/0!</v>
      </c>
      <c r="R657" s="449">
        <v>1</v>
      </c>
      <c r="S657" s="672">
        <v>40</v>
      </c>
      <c r="T657" s="161" t="e">
        <f t="shared" si="53"/>
        <v>#DIV/0!</v>
      </c>
      <c r="U657" s="162">
        <f>IF(S657="nio",0,IF(S657&gt;0,VLOOKUP(G657,'3-Productie normen'!A:K,VLOOKUP(S657,'3-Productie normen'!L:N,3,FALSE),FALSE)))</f>
        <v>0</v>
      </c>
      <c r="V657" s="162">
        <f>VLOOKUP(G657,'3-Productie normen'!A:K,10,FALSE)</f>
        <v>281.65000052452086</v>
      </c>
      <c r="W657" s="163">
        <f>VLOOKUP(G657,'3-Productie normen'!A:K,11,FALSE)</f>
        <v>0</v>
      </c>
      <c r="X657" s="163"/>
      <c r="Z657" s="129">
        <f t="shared" si="54"/>
        <v>556</v>
      </c>
    </row>
    <row r="658" spans="1:26" ht="14.1" customHeight="1">
      <c r="A658" s="144">
        <v>664</v>
      </c>
      <c r="B658" s="108" t="s">
        <v>277</v>
      </c>
      <c r="C658" s="160" t="s">
        <v>488</v>
      </c>
      <c r="D658" s="493" t="s">
        <v>98</v>
      </c>
      <c r="E658" s="712" t="s">
        <v>498</v>
      </c>
      <c r="F658" s="492" t="s">
        <v>499</v>
      </c>
      <c r="G658" s="460" t="s">
        <v>881</v>
      </c>
      <c r="H658" s="169" t="s">
        <v>100</v>
      </c>
      <c r="I658" s="582" t="str">
        <f>VLOOKUP(H658,'9a-Typen vloeren'!$A$10:$B$40,2,FALSE)</f>
        <v>Sprayen/ conserveren</v>
      </c>
      <c r="J658" s="669">
        <v>12.4</v>
      </c>
      <c r="K658" s="433">
        <f t="shared" si="50"/>
        <v>0</v>
      </c>
      <c r="L658" s="433">
        <f t="shared" si="51"/>
        <v>0</v>
      </c>
      <c r="M658" s="433">
        <f t="shared" si="52"/>
        <v>0</v>
      </c>
      <c r="N658" s="672"/>
      <c r="O658" s="729">
        <f>IF(N658="",0,N658*K658/'9b-Vloeronderhoud'!$F$4)</f>
        <v>0</v>
      </c>
      <c r="P658" s="672"/>
      <c r="Q658" s="729" t="e">
        <f>IF(O658="",0,P658*L658/'9b-Vloeronderhoud'!$F$6)</f>
        <v>#DIV/0!</v>
      </c>
      <c r="R658" s="449">
        <v>1</v>
      </c>
      <c r="S658" s="672" t="s">
        <v>179</v>
      </c>
      <c r="T658" s="161">
        <f t="shared" si="53"/>
        <v>0</v>
      </c>
      <c r="U658" s="162">
        <f>IF(S658="nio",0,IF(S658&gt;0,VLOOKUP(G658,'3-Productie normen'!A:K,VLOOKUP(S658,'3-Productie normen'!L:N,3,FALSE),FALSE)))</f>
        <v>0</v>
      </c>
      <c r="V658" s="162">
        <f>VLOOKUP(G658,'3-Productie normen'!A:K,10,FALSE)</f>
        <v>5262.809993648526</v>
      </c>
      <c r="W658" s="163">
        <f>VLOOKUP(G658,'3-Productie normen'!A:K,11,FALSE)</f>
        <v>0</v>
      </c>
      <c r="X658" s="163"/>
      <c r="Z658" s="129">
        <f t="shared" si="54"/>
        <v>0</v>
      </c>
    </row>
    <row r="659" spans="1:26" ht="14.1" customHeight="1">
      <c r="A659" s="144">
        <v>665</v>
      </c>
      <c r="B659" s="108" t="s">
        <v>277</v>
      </c>
      <c r="C659" s="160" t="s">
        <v>488</v>
      </c>
      <c r="D659" s="493" t="s">
        <v>98</v>
      </c>
      <c r="E659" s="712" t="s">
        <v>500</v>
      </c>
      <c r="F659" s="492" t="s">
        <v>267</v>
      </c>
      <c r="G659" s="533" t="s">
        <v>18</v>
      </c>
      <c r="H659" s="524" t="s">
        <v>966</v>
      </c>
      <c r="I659" s="582" t="str">
        <f>VLOOKUP(H659,'9a-Typen vloeren'!$A$10:$B$40,2,FALSE)</f>
        <v>zie kwaliteitsontwerp</v>
      </c>
      <c r="J659" s="669">
        <v>9.9</v>
      </c>
      <c r="K659" s="433">
        <f t="shared" si="50"/>
        <v>0</v>
      </c>
      <c r="L659" s="433">
        <f t="shared" si="51"/>
        <v>0</v>
      </c>
      <c r="M659" s="433">
        <f t="shared" si="52"/>
        <v>0</v>
      </c>
      <c r="N659" s="672"/>
      <c r="O659" s="729">
        <f>IF(N659="",0,N659*K659/'9b-Vloeronderhoud'!$F$4)</f>
        <v>0</v>
      </c>
      <c r="P659" s="672"/>
      <c r="Q659" s="729" t="e">
        <f>IF(O659="",0,P659*L659/'9b-Vloeronderhoud'!$F$6)</f>
        <v>#DIV/0!</v>
      </c>
      <c r="R659" s="449">
        <v>1</v>
      </c>
      <c r="S659" s="672">
        <v>80</v>
      </c>
      <c r="T659" s="161" t="e">
        <f t="shared" si="53"/>
        <v>#DIV/0!</v>
      </c>
      <c r="U659" s="162">
        <f>IF(S659="nio",0,IF(S659&gt;0,VLOOKUP(G659,'3-Productie normen'!A:K,VLOOKUP(S659,'3-Productie normen'!L:N,3,FALSE),FALSE)))</f>
        <v>0</v>
      </c>
      <c r="V659" s="162">
        <f>VLOOKUP(G659,'3-Productie normen'!A:K,10,FALSE)</f>
        <v>1859.5880019121171</v>
      </c>
      <c r="W659" s="163">
        <f>VLOOKUP(G659,'3-Productie normen'!A:K,11,FALSE)</f>
        <v>0</v>
      </c>
      <c r="X659" s="163"/>
      <c r="Z659" s="129">
        <f t="shared" si="54"/>
        <v>792</v>
      </c>
    </row>
    <row r="660" spans="1:26" ht="14.1" customHeight="1">
      <c r="A660" s="144">
        <v>666</v>
      </c>
      <c r="B660" s="108" t="s">
        <v>277</v>
      </c>
      <c r="C660" s="160" t="s">
        <v>488</v>
      </c>
      <c r="D660" s="493" t="s">
        <v>98</v>
      </c>
      <c r="E660" s="712" t="s">
        <v>502</v>
      </c>
      <c r="F660" s="303" t="s">
        <v>501</v>
      </c>
      <c r="G660" s="122" t="s">
        <v>421</v>
      </c>
      <c r="H660" s="169" t="s">
        <v>100</v>
      </c>
      <c r="I660" s="582" t="str">
        <f>VLOOKUP(H660,'9a-Typen vloeren'!$A$10:$B$40,2,FALSE)</f>
        <v>Sprayen/ conserveren</v>
      </c>
      <c r="J660" s="669">
        <v>102</v>
      </c>
      <c r="K660" s="433">
        <f t="shared" si="50"/>
        <v>102</v>
      </c>
      <c r="L660" s="433">
        <f t="shared" si="51"/>
        <v>0</v>
      </c>
      <c r="M660" s="433">
        <f t="shared" si="52"/>
        <v>0</v>
      </c>
      <c r="N660" s="672"/>
      <c r="O660" s="729">
        <f>IF(N660="",0,N660*K660/'9b-Vloeronderhoud'!$F$4)</f>
        <v>0</v>
      </c>
      <c r="P660" s="672"/>
      <c r="Q660" s="729" t="e">
        <f>IF(O660="",0,P660*L660/'9b-Vloeronderhoud'!$F$6)</f>
        <v>#DIV/0!</v>
      </c>
      <c r="R660" s="449">
        <v>1</v>
      </c>
      <c r="S660" s="672">
        <v>40</v>
      </c>
      <c r="T660" s="161" t="e">
        <f t="shared" si="53"/>
        <v>#DIV/0!</v>
      </c>
      <c r="U660" s="162">
        <f>IF(S660="nio",0,IF(S660&gt;0,VLOOKUP(G660,'3-Productie normen'!A:K,VLOOKUP(S660,'3-Productie normen'!L:N,3,FALSE),FALSE)))</f>
        <v>0</v>
      </c>
      <c r="V660" s="162">
        <f>VLOOKUP(G660,'3-Productie normen'!A:K,10,FALSE)</f>
        <v>865.11000061035156</v>
      </c>
      <c r="W660" s="163">
        <f>VLOOKUP(G660,'3-Productie normen'!A:K,11,FALSE)</f>
        <v>0</v>
      </c>
      <c r="X660" s="163"/>
      <c r="Z660" s="129">
        <f t="shared" si="54"/>
        <v>4080</v>
      </c>
    </row>
    <row r="661" spans="1:26" ht="14.1" customHeight="1">
      <c r="A661" s="144">
        <v>667</v>
      </c>
      <c r="B661" s="108" t="s">
        <v>277</v>
      </c>
      <c r="C661" s="160" t="s">
        <v>488</v>
      </c>
      <c r="D661" s="493" t="s">
        <v>98</v>
      </c>
      <c r="E661" s="712" t="s">
        <v>503</v>
      </c>
      <c r="F661" s="492" t="s">
        <v>382</v>
      </c>
      <c r="G661" s="460" t="s">
        <v>881</v>
      </c>
      <c r="H661" s="169" t="s">
        <v>100</v>
      </c>
      <c r="I661" s="582" t="str">
        <f>VLOOKUP(H661,'9a-Typen vloeren'!$A$10:$B$40,2,FALSE)</f>
        <v>Sprayen/ conserveren</v>
      </c>
      <c r="J661" s="669">
        <v>2.9</v>
      </c>
      <c r="K661" s="433">
        <f t="shared" si="50"/>
        <v>0</v>
      </c>
      <c r="L661" s="433">
        <f t="shared" si="51"/>
        <v>0</v>
      </c>
      <c r="M661" s="433">
        <f t="shared" si="52"/>
        <v>0</v>
      </c>
      <c r="N661" s="672"/>
      <c r="O661" s="729">
        <f>IF(N661="",0,N661*K661/'9b-Vloeronderhoud'!$F$4)</f>
        <v>0</v>
      </c>
      <c r="P661" s="672"/>
      <c r="Q661" s="729" t="e">
        <f>IF(O661="",0,P661*L661/'9b-Vloeronderhoud'!$F$6)</f>
        <v>#DIV/0!</v>
      </c>
      <c r="R661" s="449">
        <v>1</v>
      </c>
      <c r="S661" s="672" t="s">
        <v>179</v>
      </c>
      <c r="T661" s="161">
        <f t="shared" si="53"/>
        <v>0</v>
      </c>
      <c r="U661" s="162">
        <f>IF(S661="nio",0,IF(S661&gt;0,VLOOKUP(G661,'3-Productie normen'!A:K,VLOOKUP(S661,'3-Productie normen'!L:N,3,FALSE),FALSE)))</f>
        <v>0</v>
      </c>
      <c r="V661" s="162">
        <f>VLOOKUP(G661,'3-Productie normen'!A:K,10,FALSE)</f>
        <v>5262.809993648526</v>
      </c>
      <c r="W661" s="163">
        <f>VLOOKUP(G661,'3-Productie normen'!A:K,11,FALSE)</f>
        <v>0</v>
      </c>
      <c r="X661" s="163"/>
      <c r="Z661" s="129">
        <f t="shared" si="54"/>
        <v>0</v>
      </c>
    </row>
    <row r="662" spans="1:26" ht="14.1" customHeight="1">
      <c r="A662" s="144">
        <v>668</v>
      </c>
      <c r="B662" s="108" t="s">
        <v>277</v>
      </c>
      <c r="C662" s="160" t="s">
        <v>488</v>
      </c>
      <c r="D662" s="493" t="s">
        <v>98</v>
      </c>
      <c r="E662" s="712" t="s">
        <v>505</v>
      </c>
      <c r="F662" s="492" t="s">
        <v>504</v>
      </c>
      <c r="G662" s="502" t="s">
        <v>347</v>
      </c>
      <c r="H662" s="169" t="s">
        <v>100</v>
      </c>
      <c r="I662" s="582" t="str">
        <f>VLOOKUP(H662,'9a-Typen vloeren'!$A$10:$B$40,2,FALSE)</f>
        <v>Sprayen/ conserveren</v>
      </c>
      <c r="J662" s="669">
        <v>70.599999999999994</v>
      </c>
      <c r="K662" s="433">
        <f t="shared" si="50"/>
        <v>70.599999999999994</v>
      </c>
      <c r="L662" s="433">
        <f t="shared" si="51"/>
        <v>0</v>
      </c>
      <c r="M662" s="433">
        <f t="shared" si="52"/>
        <v>0</v>
      </c>
      <c r="N662" s="672"/>
      <c r="O662" s="729">
        <f>IF(N662="",0,N662*K662/'9b-Vloeronderhoud'!$F$4)</f>
        <v>0</v>
      </c>
      <c r="P662" s="672"/>
      <c r="Q662" s="729" t="e">
        <f>IF(O662="",0,P662*L662/'9b-Vloeronderhoud'!$F$6)</f>
        <v>#DIV/0!</v>
      </c>
      <c r="R662" s="449">
        <v>1</v>
      </c>
      <c r="S662" s="672">
        <v>44</v>
      </c>
      <c r="T662" s="161" t="e">
        <f t="shared" si="53"/>
        <v>#DIV/0!</v>
      </c>
      <c r="U662" s="162">
        <f>IF(S662="nio",0,IF(S662&gt;0,VLOOKUP(G662,'3-Productie normen'!A:K,VLOOKUP(S662,'3-Productie normen'!L:N,3,FALSE),FALSE)))</f>
        <v>0</v>
      </c>
      <c r="V662" s="162">
        <f>VLOOKUP(G662,'3-Productie normen'!A:K,10,FALSE)</f>
        <v>1134.6299961853026</v>
      </c>
      <c r="W662" s="163">
        <f>VLOOKUP(G662,'3-Productie normen'!A:K,11,FALSE)</f>
        <v>0</v>
      </c>
      <c r="X662" s="163"/>
      <c r="Z662" s="129">
        <f t="shared" si="54"/>
        <v>3106.3999999999996</v>
      </c>
    </row>
    <row r="663" spans="1:26" ht="14.1" customHeight="1">
      <c r="A663" s="144">
        <v>669</v>
      </c>
      <c r="B663" s="160" t="s">
        <v>254</v>
      </c>
      <c r="C663" s="303" t="s">
        <v>767</v>
      </c>
      <c r="D663" s="304" t="s">
        <v>98</v>
      </c>
      <c r="E663" s="694" t="s">
        <v>294</v>
      </c>
      <c r="F663" s="494" t="s">
        <v>489</v>
      </c>
      <c r="G663" s="546" t="s">
        <v>99</v>
      </c>
      <c r="H663" s="542" t="s">
        <v>802</v>
      </c>
      <c r="I663" s="582" t="str">
        <f>VLOOKUP(H663,'9a-Typen vloeren'!$A$10:$B$40,2,FALSE)</f>
        <v>n.v.t.</v>
      </c>
      <c r="J663" s="588">
        <v>5.8</v>
      </c>
      <c r="K663" s="433">
        <f t="shared" si="50"/>
        <v>0</v>
      </c>
      <c r="L663" s="433">
        <f t="shared" si="51"/>
        <v>0</v>
      </c>
      <c r="M663" s="433">
        <f t="shared" si="52"/>
        <v>0</v>
      </c>
      <c r="N663" s="672"/>
      <c r="O663" s="729">
        <f>IF(N663="",0,N663*K663/'9b-Vloeronderhoud'!$F$4)</f>
        <v>0</v>
      </c>
      <c r="P663" s="672"/>
      <c r="Q663" s="729" t="e">
        <f>IF(O663="",0,P663*L663/'9b-Vloeronderhoud'!$F$6)</f>
        <v>#DIV/0!</v>
      </c>
      <c r="R663" s="449">
        <v>1</v>
      </c>
      <c r="S663" s="672">
        <v>190</v>
      </c>
      <c r="T663" s="161" t="e">
        <f t="shared" si="53"/>
        <v>#DIV/0!</v>
      </c>
      <c r="U663" s="162">
        <f>IF(S663="nio",0,IF(S663&gt;0,VLOOKUP(G663,'3-Productie normen'!A:K,VLOOKUP(S663,'3-Productie normen'!L:N,3,FALSE),FALSE)))</f>
        <v>0</v>
      </c>
      <c r="V663" s="162">
        <f>VLOOKUP(G663,'3-Productie normen'!A:K,10,FALSE)</f>
        <v>726.97999910354622</v>
      </c>
      <c r="W663" s="163">
        <f>VLOOKUP(G663,'3-Productie normen'!A:K,11,FALSE)</f>
        <v>0</v>
      </c>
      <c r="X663" s="163"/>
      <c r="Z663" s="129">
        <f t="shared" si="54"/>
        <v>1102</v>
      </c>
    </row>
    <row r="664" spans="1:26" ht="14.1" customHeight="1">
      <c r="A664" s="144">
        <v>670</v>
      </c>
      <c r="B664" s="160" t="s">
        <v>254</v>
      </c>
      <c r="C664" s="303" t="s">
        <v>767</v>
      </c>
      <c r="D664" s="304" t="s">
        <v>98</v>
      </c>
      <c r="E664" s="694" t="s">
        <v>295</v>
      </c>
      <c r="F664" s="303" t="s">
        <v>571</v>
      </c>
      <c r="G664" s="122" t="s">
        <v>286</v>
      </c>
      <c r="H664" s="542" t="s">
        <v>100</v>
      </c>
      <c r="I664" s="582" t="str">
        <f>VLOOKUP(H664,'9a-Typen vloeren'!$A$10:$B$40,2,FALSE)</f>
        <v>Sprayen/ conserveren</v>
      </c>
      <c r="J664" s="588">
        <v>39.299999999999997</v>
      </c>
      <c r="K664" s="433">
        <f t="shared" si="50"/>
        <v>39.299999999999997</v>
      </c>
      <c r="L664" s="433">
        <f t="shared" si="51"/>
        <v>0</v>
      </c>
      <c r="M664" s="433">
        <f t="shared" si="52"/>
        <v>0</v>
      </c>
      <c r="N664" s="672">
        <v>2</v>
      </c>
      <c r="O664" s="729" t="e">
        <f>IF(N664="",0,N664*K664/'9b-Vloeronderhoud'!$F$4)</f>
        <v>#DIV/0!</v>
      </c>
      <c r="P664" s="672"/>
      <c r="Q664" s="729" t="e">
        <f>IF(O664="",0,P664*L664/'9b-Vloeronderhoud'!$F$6)</f>
        <v>#DIV/0!</v>
      </c>
      <c r="R664" s="449">
        <v>1</v>
      </c>
      <c r="S664" s="672">
        <v>120</v>
      </c>
      <c r="T664" s="161" t="e">
        <f t="shared" si="53"/>
        <v>#DIV/0!</v>
      </c>
      <c r="U664" s="162">
        <f>IF(S664="nio",0,IF(S664&gt;0,VLOOKUP(G664,'3-Productie normen'!A:K,VLOOKUP(S664,'3-Productie normen'!L:N,3,FALSE),FALSE)))</f>
        <v>0</v>
      </c>
      <c r="V664" s="162">
        <f>VLOOKUP(G664,'3-Productie normen'!A:K,10,FALSE)</f>
        <v>6152.9500017547598</v>
      </c>
      <c r="W664" s="163">
        <f>VLOOKUP(G664,'3-Productie normen'!A:K,11,FALSE)</f>
        <v>0</v>
      </c>
      <c r="X664" s="163"/>
      <c r="Z664" s="129">
        <f t="shared" si="54"/>
        <v>4716</v>
      </c>
    </row>
    <row r="665" spans="1:26" ht="14.1" customHeight="1">
      <c r="A665" s="144">
        <v>671</v>
      </c>
      <c r="B665" s="160" t="s">
        <v>254</v>
      </c>
      <c r="C665" s="303" t="s">
        <v>767</v>
      </c>
      <c r="D665" s="304" t="s">
        <v>98</v>
      </c>
      <c r="E665" s="694" t="s">
        <v>296</v>
      </c>
      <c r="F665" s="494" t="s">
        <v>768</v>
      </c>
      <c r="G665" s="460" t="s">
        <v>881</v>
      </c>
      <c r="H665" s="542" t="s">
        <v>100</v>
      </c>
      <c r="I665" s="582" t="str">
        <f>VLOOKUP(H665,'9a-Typen vloeren'!$A$10:$B$40,2,FALSE)</f>
        <v>Sprayen/ conserveren</v>
      </c>
      <c r="J665" s="588">
        <v>58.7</v>
      </c>
      <c r="K665" s="433">
        <f t="shared" si="50"/>
        <v>0</v>
      </c>
      <c r="L665" s="433">
        <f t="shared" si="51"/>
        <v>0</v>
      </c>
      <c r="M665" s="433">
        <f t="shared" si="52"/>
        <v>0</v>
      </c>
      <c r="N665" s="672"/>
      <c r="O665" s="729">
        <f>IF(N665="",0,N665*K665/'9b-Vloeronderhoud'!$F$4)</f>
        <v>0</v>
      </c>
      <c r="P665" s="672"/>
      <c r="Q665" s="729" t="e">
        <f>IF(O665="",0,P665*L665/'9b-Vloeronderhoud'!$F$6)</f>
        <v>#DIV/0!</v>
      </c>
      <c r="R665" s="449">
        <v>1</v>
      </c>
      <c r="S665" s="672" t="s">
        <v>179</v>
      </c>
      <c r="T665" s="161">
        <f t="shared" si="53"/>
        <v>0</v>
      </c>
      <c r="U665" s="162">
        <f>IF(S665="nio",0,IF(S665&gt;0,VLOOKUP(G665,'3-Productie normen'!A:K,VLOOKUP(S665,'3-Productie normen'!L:N,3,FALSE),FALSE)))</f>
        <v>0</v>
      </c>
      <c r="V665" s="162">
        <f>VLOOKUP(G665,'3-Productie normen'!A:K,10,FALSE)</f>
        <v>5262.809993648526</v>
      </c>
      <c r="W665" s="163">
        <f>VLOOKUP(G665,'3-Productie normen'!A:K,11,FALSE)</f>
        <v>0</v>
      </c>
      <c r="X665" s="163"/>
      <c r="Z665" s="129">
        <f t="shared" si="54"/>
        <v>0</v>
      </c>
    </row>
    <row r="666" spans="1:26" ht="14.1" customHeight="1">
      <c r="A666" s="144">
        <v>672</v>
      </c>
      <c r="B666" s="160" t="s">
        <v>254</v>
      </c>
      <c r="C666" s="303" t="s">
        <v>767</v>
      </c>
      <c r="D666" s="304" t="s">
        <v>98</v>
      </c>
      <c r="E666" s="694" t="s">
        <v>298</v>
      </c>
      <c r="F666" s="303" t="s">
        <v>769</v>
      </c>
      <c r="G666" s="122" t="s">
        <v>221</v>
      </c>
      <c r="H666" s="542" t="s">
        <v>100</v>
      </c>
      <c r="I666" s="582" t="str">
        <f>VLOOKUP(H666,'9a-Typen vloeren'!$A$10:$B$40,2,FALSE)</f>
        <v>Sprayen/ conserveren</v>
      </c>
      <c r="J666" s="588">
        <v>56.7</v>
      </c>
      <c r="K666" s="433">
        <f t="shared" si="50"/>
        <v>56.7</v>
      </c>
      <c r="L666" s="433">
        <f t="shared" si="51"/>
        <v>0</v>
      </c>
      <c r="M666" s="433">
        <f t="shared" si="52"/>
        <v>0</v>
      </c>
      <c r="N666" s="672"/>
      <c r="O666" s="729">
        <f>IF(N666="",0,N666*K666/'9b-Vloeronderhoud'!$F$4)</f>
        <v>0</v>
      </c>
      <c r="P666" s="672"/>
      <c r="Q666" s="729" t="e">
        <f>IF(O666="",0,P666*L666/'9b-Vloeronderhoud'!$F$6)</f>
        <v>#DIV/0!</v>
      </c>
      <c r="R666" s="449">
        <v>1</v>
      </c>
      <c r="S666" s="688" t="s">
        <v>179</v>
      </c>
      <c r="T666" s="161">
        <f t="shared" si="53"/>
        <v>0</v>
      </c>
      <c r="U666" s="162">
        <f>IF(S666="nio",0,IF(S666&gt;0,VLOOKUP(G666,'3-Productie normen'!A:K,VLOOKUP(S666,'3-Productie normen'!L:N,3,FALSE),FALSE)))</f>
        <v>0</v>
      </c>
      <c r="V666" s="162">
        <f>VLOOKUP(G666,'3-Productie normen'!A:K,10,FALSE)</f>
        <v>16013.110036668773</v>
      </c>
      <c r="W666" s="163">
        <f>VLOOKUP(G666,'3-Productie normen'!A:K,11,FALSE)</f>
        <v>0</v>
      </c>
      <c r="X666" s="163"/>
      <c r="Z666" s="129">
        <f t="shared" si="54"/>
        <v>0</v>
      </c>
    </row>
    <row r="667" spans="1:26" ht="14.1" customHeight="1">
      <c r="A667" s="144">
        <v>673</v>
      </c>
      <c r="B667" s="160" t="s">
        <v>254</v>
      </c>
      <c r="C667" s="303" t="s">
        <v>767</v>
      </c>
      <c r="D667" s="304" t="s">
        <v>98</v>
      </c>
      <c r="E667" s="694" t="s">
        <v>301</v>
      </c>
      <c r="F667" s="494" t="s">
        <v>267</v>
      </c>
      <c r="G667" s="460" t="s">
        <v>18</v>
      </c>
      <c r="H667" s="303" t="s">
        <v>955</v>
      </c>
      <c r="I667" s="582" t="str">
        <f>VLOOKUP(H667,'9a-Typen vloeren'!$A$10:$B$40,2,FALSE)</f>
        <v>zie kwaliteitsontwerp</v>
      </c>
      <c r="J667" s="588">
        <v>5.2</v>
      </c>
      <c r="K667" s="433">
        <f t="shared" si="50"/>
        <v>0</v>
      </c>
      <c r="L667" s="433">
        <f t="shared" si="51"/>
        <v>0</v>
      </c>
      <c r="M667" s="433">
        <f t="shared" si="52"/>
        <v>0</v>
      </c>
      <c r="N667" s="672"/>
      <c r="O667" s="729">
        <f>IF(N667="",0,N667*K667/'9b-Vloeronderhoud'!$F$4)</f>
        <v>0</v>
      </c>
      <c r="P667" s="672"/>
      <c r="Q667" s="729" t="e">
        <f>IF(O667="",0,P667*L667/'9b-Vloeronderhoud'!$F$6)</f>
        <v>#DIV/0!</v>
      </c>
      <c r="R667" s="449">
        <v>1</v>
      </c>
      <c r="S667" s="672">
        <v>190</v>
      </c>
      <c r="T667" s="161" t="e">
        <f t="shared" si="53"/>
        <v>#DIV/0!</v>
      </c>
      <c r="U667" s="162">
        <f>IF(S667="nio",0,IF(S667&gt;0,VLOOKUP(G667,'3-Productie normen'!A:K,VLOOKUP(S667,'3-Productie normen'!L:N,3,FALSE),FALSE)))</f>
        <v>0</v>
      </c>
      <c r="V667" s="162">
        <f>VLOOKUP(G667,'3-Productie normen'!A:K,10,FALSE)</f>
        <v>1859.5880019121171</v>
      </c>
      <c r="W667" s="163">
        <f>VLOOKUP(G667,'3-Productie normen'!A:K,11,FALSE)</f>
        <v>0</v>
      </c>
      <c r="X667" s="163"/>
      <c r="Z667" s="129">
        <f t="shared" si="54"/>
        <v>988</v>
      </c>
    </row>
    <row r="668" spans="1:26" ht="14.1" customHeight="1">
      <c r="A668" s="144">
        <v>674</v>
      </c>
      <c r="B668" s="485" t="s">
        <v>254</v>
      </c>
      <c r="C668" s="303" t="s">
        <v>767</v>
      </c>
      <c r="D668" s="304" t="s">
        <v>98</v>
      </c>
      <c r="E668" s="694" t="s">
        <v>303</v>
      </c>
      <c r="F668" s="303" t="s">
        <v>771</v>
      </c>
      <c r="G668" s="303" t="s">
        <v>221</v>
      </c>
      <c r="H668" s="542" t="s">
        <v>100</v>
      </c>
      <c r="I668" s="582" t="str">
        <f>VLOOKUP(H668,'9a-Typen vloeren'!$A$10:$B$40,2,FALSE)</f>
        <v>Sprayen/ conserveren</v>
      </c>
      <c r="J668" s="588">
        <v>56.9</v>
      </c>
      <c r="K668" s="433">
        <f t="shared" si="50"/>
        <v>56.9</v>
      </c>
      <c r="L668" s="433">
        <f t="shared" si="51"/>
        <v>0</v>
      </c>
      <c r="M668" s="433">
        <f t="shared" si="52"/>
        <v>0</v>
      </c>
      <c r="N668" s="672"/>
      <c r="O668" s="729">
        <f>IF(N668="",0,N668*K668/'9b-Vloeronderhoud'!$F$4)</f>
        <v>0</v>
      </c>
      <c r="P668" s="672"/>
      <c r="Q668" s="729" t="e">
        <f>IF(O668="",0,P668*L668/'9b-Vloeronderhoud'!$F$6)</f>
        <v>#DIV/0!</v>
      </c>
      <c r="R668" s="449">
        <v>1</v>
      </c>
      <c r="S668" s="688" t="s">
        <v>179</v>
      </c>
      <c r="T668" s="161">
        <f t="shared" si="53"/>
        <v>0</v>
      </c>
      <c r="U668" s="162">
        <f>IF(S668="nio",0,IF(S668&gt;0,VLOOKUP(G668,'3-Productie normen'!A:K,VLOOKUP(S668,'3-Productie normen'!L:N,3,FALSE),FALSE)))</f>
        <v>0</v>
      </c>
      <c r="V668" s="162">
        <f>VLOOKUP(G668,'3-Productie normen'!A:K,10,FALSE)</f>
        <v>16013.110036668773</v>
      </c>
      <c r="W668" s="163">
        <f>VLOOKUP(G668,'3-Productie normen'!A:K,11,FALSE)</f>
        <v>0</v>
      </c>
      <c r="X668" s="163"/>
      <c r="Z668" s="129">
        <f t="shared" si="54"/>
        <v>0</v>
      </c>
    </row>
    <row r="669" spans="1:26" ht="14.1" customHeight="1">
      <c r="A669" s="144">
        <v>675</v>
      </c>
      <c r="B669" s="485" t="s">
        <v>254</v>
      </c>
      <c r="C669" s="303" t="s">
        <v>767</v>
      </c>
      <c r="D669" s="304" t="s">
        <v>98</v>
      </c>
      <c r="E669" s="694" t="s">
        <v>305</v>
      </c>
      <c r="F669" s="303" t="s">
        <v>451</v>
      </c>
      <c r="G669" s="460" t="s">
        <v>881</v>
      </c>
      <c r="H669" s="542" t="s">
        <v>333</v>
      </c>
      <c r="I669" s="582" t="str">
        <f>VLOOKUP(H669,'9a-Typen vloeren'!$A$10:$B$40,2,FALSE)</f>
        <v>Schrobben</v>
      </c>
      <c r="J669" s="588">
        <v>5.9</v>
      </c>
      <c r="K669" s="433">
        <f t="shared" si="50"/>
        <v>0</v>
      </c>
      <c r="L669" s="433">
        <f t="shared" si="51"/>
        <v>0</v>
      </c>
      <c r="M669" s="433">
        <f t="shared" si="52"/>
        <v>0</v>
      </c>
      <c r="N669" s="672"/>
      <c r="O669" s="729">
        <f>IF(N669="",0,N669*K669/'9b-Vloeronderhoud'!$F$4)</f>
        <v>0</v>
      </c>
      <c r="P669" s="672"/>
      <c r="Q669" s="729" t="e">
        <f>IF(O669="",0,P669*L669/'9b-Vloeronderhoud'!$F$6)</f>
        <v>#DIV/0!</v>
      </c>
      <c r="R669" s="449">
        <v>1</v>
      </c>
      <c r="S669" s="672" t="s">
        <v>179</v>
      </c>
      <c r="T669" s="161">
        <f t="shared" si="53"/>
        <v>0</v>
      </c>
      <c r="U669" s="162">
        <f>IF(S669="nio",0,IF(S669&gt;0,VLOOKUP(G669,'3-Productie normen'!A:K,VLOOKUP(S669,'3-Productie normen'!L:N,3,FALSE),FALSE)))</f>
        <v>0</v>
      </c>
      <c r="V669" s="162">
        <f>VLOOKUP(G669,'3-Productie normen'!A:K,10,FALSE)</f>
        <v>5262.809993648526</v>
      </c>
      <c r="W669" s="163">
        <f>VLOOKUP(G669,'3-Productie normen'!A:K,11,FALSE)</f>
        <v>0</v>
      </c>
      <c r="X669" s="163"/>
      <c r="Z669" s="129">
        <f t="shared" si="54"/>
        <v>0</v>
      </c>
    </row>
    <row r="670" spans="1:26" ht="14.1" customHeight="1">
      <c r="A670" s="144">
        <v>676</v>
      </c>
      <c r="B670" s="485" t="s">
        <v>254</v>
      </c>
      <c r="C670" s="303" t="s">
        <v>767</v>
      </c>
      <c r="D670" s="304" t="s">
        <v>98</v>
      </c>
      <c r="E670" s="694" t="s">
        <v>306</v>
      </c>
      <c r="F670" s="494" t="s">
        <v>267</v>
      </c>
      <c r="G670" s="545" t="s">
        <v>18</v>
      </c>
      <c r="H670" s="303" t="s">
        <v>955</v>
      </c>
      <c r="I670" s="582" t="str">
        <f>VLOOKUP(H670,'9a-Typen vloeren'!$A$10:$B$40,2,FALSE)</f>
        <v>zie kwaliteitsontwerp</v>
      </c>
      <c r="J670" s="588">
        <v>5.0999999999999996</v>
      </c>
      <c r="K670" s="433">
        <f t="shared" si="50"/>
        <v>0</v>
      </c>
      <c r="L670" s="433">
        <f t="shared" si="51"/>
        <v>0</v>
      </c>
      <c r="M670" s="433">
        <f t="shared" si="52"/>
        <v>0</v>
      </c>
      <c r="N670" s="672"/>
      <c r="O670" s="729">
        <f>IF(N670="",0,N670*K670/'9b-Vloeronderhoud'!$F$4)</f>
        <v>0</v>
      </c>
      <c r="P670" s="672"/>
      <c r="Q670" s="729" t="e">
        <f>IF(O670="",0,P670*L670/'9b-Vloeronderhoud'!$F$6)</f>
        <v>#DIV/0!</v>
      </c>
      <c r="R670" s="449">
        <v>1</v>
      </c>
      <c r="S670" s="672">
        <v>190</v>
      </c>
      <c r="T670" s="161" t="e">
        <f t="shared" si="53"/>
        <v>#DIV/0!</v>
      </c>
      <c r="U670" s="162">
        <f>IF(S670="nio",0,IF(S670&gt;0,VLOOKUP(G670,'3-Productie normen'!A:K,VLOOKUP(S670,'3-Productie normen'!L:N,3,FALSE),FALSE)))</f>
        <v>0</v>
      </c>
      <c r="V670" s="162">
        <f>VLOOKUP(G670,'3-Productie normen'!A:K,10,FALSE)</f>
        <v>1859.5880019121171</v>
      </c>
      <c r="W670" s="163">
        <f>VLOOKUP(G670,'3-Productie normen'!A:K,11,FALSE)</f>
        <v>0</v>
      </c>
      <c r="X670" s="163"/>
      <c r="Z670" s="129">
        <f t="shared" si="54"/>
        <v>968.99999999999989</v>
      </c>
    </row>
    <row r="671" spans="1:26" ht="14.1" customHeight="1">
      <c r="A671" s="144">
        <v>677</v>
      </c>
      <c r="B671" s="485" t="s">
        <v>254</v>
      </c>
      <c r="C671" s="303" t="s">
        <v>767</v>
      </c>
      <c r="D671" s="304" t="s">
        <v>98</v>
      </c>
      <c r="E671" s="694" t="s">
        <v>307</v>
      </c>
      <c r="F671" s="303" t="s">
        <v>772</v>
      </c>
      <c r="G671" s="533" t="s">
        <v>221</v>
      </c>
      <c r="H671" s="542" t="s">
        <v>100</v>
      </c>
      <c r="I671" s="582" t="str">
        <f>VLOOKUP(H671,'9a-Typen vloeren'!$A$10:$B$40,2,FALSE)</f>
        <v>Sprayen/ conserveren</v>
      </c>
      <c r="J671" s="588">
        <v>56.8</v>
      </c>
      <c r="K671" s="433">
        <f t="shared" si="50"/>
        <v>56.8</v>
      </c>
      <c r="L671" s="433">
        <f t="shared" si="51"/>
        <v>0</v>
      </c>
      <c r="M671" s="433">
        <f t="shared" si="52"/>
        <v>0</v>
      </c>
      <c r="N671" s="672"/>
      <c r="O671" s="729">
        <f>IF(N671="",0,N671*K671/'9b-Vloeronderhoud'!$F$4)</f>
        <v>0</v>
      </c>
      <c r="P671" s="672"/>
      <c r="Q671" s="729" t="e">
        <f>IF(O671="",0,P671*L671/'9b-Vloeronderhoud'!$F$6)</f>
        <v>#DIV/0!</v>
      </c>
      <c r="R671" s="449">
        <v>1</v>
      </c>
      <c r="S671" s="688" t="s">
        <v>179</v>
      </c>
      <c r="T671" s="161">
        <f t="shared" si="53"/>
        <v>0</v>
      </c>
      <c r="U671" s="162">
        <f>IF(S671="nio",0,IF(S671&gt;0,VLOOKUP(G671,'3-Productie normen'!A:K,VLOOKUP(S671,'3-Productie normen'!L:N,3,FALSE),FALSE)))</f>
        <v>0</v>
      </c>
      <c r="V671" s="162">
        <f>VLOOKUP(G671,'3-Productie normen'!A:K,10,FALSE)</f>
        <v>16013.110036668773</v>
      </c>
      <c r="W671" s="163">
        <f>VLOOKUP(G671,'3-Productie normen'!A:K,11,FALSE)</f>
        <v>0</v>
      </c>
      <c r="X671" s="163"/>
      <c r="Z671" s="129">
        <f t="shared" si="54"/>
        <v>0</v>
      </c>
    </row>
    <row r="672" spans="1:26" ht="14.1" customHeight="1">
      <c r="A672" s="144">
        <v>678</v>
      </c>
      <c r="B672" s="485" t="s">
        <v>254</v>
      </c>
      <c r="C672" s="303" t="s">
        <v>767</v>
      </c>
      <c r="D672" s="304" t="s">
        <v>98</v>
      </c>
      <c r="E672" s="694" t="s">
        <v>309</v>
      </c>
      <c r="F672" s="494" t="s">
        <v>773</v>
      </c>
      <c r="G672" s="546" t="s">
        <v>862</v>
      </c>
      <c r="H672" s="542" t="s">
        <v>100</v>
      </c>
      <c r="I672" s="582" t="str">
        <f>VLOOKUP(H672,'9a-Typen vloeren'!$A$10:$B$40,2,FALSE)</f>
        <v>Sprayen/ conserveren</v>
      </c>
      <c r="J672" s="588">
        <v>149.19999999999999</v>
      </c>
      <c r="K672" s="433">
        <f t="shared" si="50"/>
        <v>149.19999999999999</v>
      </c>
      <c r="L672" s="433">
        <f t="shared" si="51"/>
        <v>0</v>
      </c>
      <c r="M672" s="433">
        <f t="shared" si="52"/>
        <v>0</v>
      </c>
      <c r="N672" s="672">
        <v>2</v>
      </c>
      <c r="O672" s="729" t="e">
        <f>IF(N672="",0,N672*K672/'9b-Vloeronderhoud'!$F$4)</f>
        <v>#DIV/0!</v>
      </c>
      <c r="P672" s="672"/>
      <c r="Q672" s="729" t="e">
        <f>IF(O672="",0,P672*L672/'9b-Vloeronderhoud'!$F$6)</f>
        <v>#DIV/0!</v>
      </c>
      <c r="R672" s="449">
        <v>1</v>
      </c>
      <c r="S672" s="672">
        <v>120</v>
      </c>
      <c r="T672" s="161" t="e">
        <f t="shared" si="53"/>
        <v>#DIV/0!</v>
      </c>
      <c r="U672" s="162">
        <f>IF(S672="nio",0,IF(S672&gt;0,VLOOKUP(G672,'3-Productie normen'!A:K,VLOOKUP(S672,'3-Productie normen'!L:N,3,FALSE),FALSE)))</f>
        <v>0</v>
      </c>
      <c r="V672" s="162">
        <f>VLOOKUP(G672,'3-Productie normen'!A:K,10,FALSE)</f>
        <v>4374.9900215911857</v>
      </c>
      <c r="W672" s="163">
        <f>VLOOKUP(G672,'3-Productie normen'!A:K,11,FALSE)</f>
        <v>0</v>
      </c>
      <c r="X672" s="163"/>
      <c r="Z672" s="129">
        <f t="shared" si="54"/>
        <v>17904</v>
      </c>
    </row>
    <row r="673" spans="1:26" ht="14.1" customHeight="1">
      <c r="A673" s="144">
        <v>679</v>
      </c>
      <c r="B673" s="485" t="s">
        <v>254</v>
      </c>
      <c r="C673" s="303" t="s">
        <v>767</v>
      </c>
      <c r="D673" s="304" t="s">
        <v>98</v>
      </c>
      <c r="E673" s="694" t="s">
        <v>311</v>
      </c>
      <c r="F673" s="303" t="s">
        <v>774</v>
      </c>
      <c r="G673" s="122" t="s">
        <v>221</v>
      </c>
      <c r="H673" s="542" t="s">
        <v>100</v>
      </c>
      <c r="I673" s="582" t="str">
        <f>VLOOKUP(H673,'9a-Typen vloeren'!$A$10:$B$40,2,FALSE)</f>
        <v>Sprayen/ conserveren</v>
      </c>
      <c r="J673" s="588">
        <v>56.9</v>
      </c>
      <c r="K673" s="433">
        <f t="shared" si="50"/>
        <v>56.9</v>
      </c>
      <c r="L673" s="433">
        <f t="shared" si="51"/>
        <v>0</v>
      </c>
      <c r="M673" s="433">
        <f t="shared" si="52"/>
        <v>0</v>
      </c>
      <c r="N673" s="672"/>
      <c r="O673" s="729">
        <f>IF(N673="",0,N673*K673/'9b-Vloeronderhoud'!$F$4)</f>
        <v>0</v>
      </c>
      <c r="P673" s="672"/>
      <c r="Q673" s="729" t="e">
        <f>IF(O673="",0,P673*L673/'9b-Vloeronderhoud'!$F$6)</f>
        <v>#DIV/0!</v>
      </c>
      <c r="R673" s="449">
        <v>1</v>
      </c>
      <c r="S673" s="688" t="s">
        <v>179</v>
      </c>
      <c r="T673" s="161">
        <f t="shared" si="53"/>
        <v>0</v>
      </c>
      <c r="U673" s="162">
        <f>IF(S673="nio",0,IF(S673&gt;0,VLOOKUP(G673,'3-Productie normen'!A:K,VLOOKUP(S673,'3-Productie normen'!L:N,3,FALSE),FALSE)))</f>
        <v>0</v>
      </c>
      <c r="V673" s="162">
        <f>VLOOKUP(G673,'3-Productie normen'!A:K,10,FALSE)</f>
        <v>16013.110036668773</v>
      </c>
      <c r="W673" s="163">
        <f>VLOOKUP(G673,'3-Productie normen'!A:K,11,FALSE)</f>
        <v>0</v>
      </c>
      <c r="X673" s="163"/>
      <c r="Z673" s="129">
        <f t="shared" si="54"/>
        <v>0</v>
      </c>
    </row>
    <row r="674" spans="1:26" ht="14.1" customHeight="1">
      <c r="A674" s="144">
        <v>680</v>
      </c>
      <c r="B674" s="485" t="s">
        <v>254</v>
      </c>
      <c r="C674" s="303" t="s">
        <v>767</v>
      </c>
      <c r="D674" s="304" t="s">
        <v>98</v>
      </c>
      <c r="E674" s="694" t="s">
        <v>312</v>
      </c>
      <c r="F674" s="303" t="s">
        <v>267</v>
      </c>
      <c r="G674" s="122" t="s">
        <v>18</v>
      </c>
      <c r="H674" s="303" t="s">
        <v>955</v>
      </c>
      <c r="I674" s="582" t="str">
        <f>VLOOKUP(H674,'9a-Typen vloeren'!$A$10:$B$40,2,FALSE)</f>
        <v>zie kwaliteitsontwerp</v>
      </c>
      <c r="J674" s="588">
        <v>5.2</v>
      </c>
      <c r="K674" s="433">
        <f t="shared" si="50"/>
        <v>0</v>
      </c>
      <c r="L674" s="433">
        <f t="shared" si="51"/>
        <v>0</v>
      </c>
      <c r="M674" s="433">
        <f t="shared" si="52"/>
        <v>0</v>
      </c>
      <c r="N674" s="672"/>
      <c r="O674" s="729">
        <f>IF(N674="",0,N674*K674/'9b-Vloeronderhoud'!$F$4)</f>
        <v>0</v>
      </c>
      <c r="P674" s="672"/>
      <c r="Q674" s="729" t="e">
        <f>IF(O674="",0,P674*L674/'9b-Vloeronderhoud'!$F$6)</f>
        <v>#DIV/0!</v>
      </c>
      <c r="R674" s="449">
        <v>1</v>
      </c>
      <c r="S674" s="672">
        <v>190</v>
      </c>
      <c r="T674" s="161" t="e">
        <f t="shared" si="53"/>
        <v>#DIV/0!</v>
      </c>
      <c r="U674" s="162">
        <f>IF(S674="nio",0,IF(S674&gt;0,VLOOKUP(G674,'3-Productie normen'!A:K,VLOOKUP(S674,'3-Productie normen'!L:N,3,FALSE),FALSE)))</f>
        <v>0</v>
      </c>
      <c r="V674" s="162">
        <f>VLOOKUP(G674,'3-Productie normen'!A:K,10,FALSE)</f>
        <v>1859.5880019121171</v>
      </c>
      <c r="W674" s="163">
        <f>VLOOKUP(G674,'3-Productie normen'!A:K,11,FALSE)</f>
        <v>0</v>
      </c>
      <c r="X674" s="163"/>
      <c r="Z674" s="129">
        <f t="shared" si="54"/>
        <v>988</v>
      </c>
    </row>
    <row r="675" spans="1:26" ht="14.1" customHeight="1">
      <c r="A675" s="144">
        <v>681</v>
      </c>
      <c r="B675" s="485" t="s">
        <v>254</v>
      </c>
      <c r="C675" s="303" t="s">
        <v>767</v>
      </c>
      <c r="D675" s="304" t="s">
        <v>98</v>
      </c>
      <c r="E675" s="694" t="s">
        <v>314</v>
      </c>
      <c r="F675" s="126" t="s">
        <v>775</v>
      </c>
      <c r="G675" s="4" t="s">
        <v>221</v>
      </c>
      <c r="H675" s="542" t="s">
        <v>100</v>
      </c>
      <c r="I675" s="582" t="str">
        <f>VLOOKUP(H675,'9a-Typen vloeren'!$A$10:$B$40,2,FALSE)</f>
        <v>Sprayen/ conserveren</v>
      </c>
      <c r="J675" s="588">
        <v>56.9</v>
      </c>
      <c r="K675" s="433">
        <f t="shared" si="50"/>
        <v>56.9</v>
      </c>
      <c r="L675" s="433">
        <f t="shared" si="51"/>
        <v>0</v>
      </c>
      <c r="M675" s="433">
        <f t="shared" si="52"/>
        <v>0</v>
      </c>
      <c r="N675" s="672"/>
      <c r="O675" s="729">
        <f>IF(N675="",0,N675*K675/'9b-Vloeronderhoud'!$F$4)</f>
        <v>0</v>
      </c>
      <c r="P675" s="672"/>
      <c r="Q675" s="729" t="e">
        <f>IF(O675="",0,P675*L675/'9b-Vloeronderhoud'!$F$6)</f>
        <v>#DIV/0!</v>
      </c>
      <c r="R675" s="449">
        <v>1</v>
      </c>
      <c r="S675" s="688" t="s">
        <v>179</v>
      </c>
      <c r="T675" s="161">
        <f t="shared" si="53"/>
        <v>0</v>
      </c>
      <c r="U675" s="162">
        <f>IF(S675="nio",0,IF(S675&gt;0,VLOOKUP(G675,'3-Productie normen'!A:K,VLOOKUP(S675,'3-Productie normen'!L:N,3,FALSE),FALSE)))</f>
        <v>0</v>
      </c>
      <c r="V675" s="162">
        <f>VLOOKUP(G675,'3-Productie normen'!A:K,10,FALSE)</f>
        <v>16013.110036668773</v>
      </c>
      <c r="W675" s="163">
        <f>VLOOKUP(G675,'3-Productie normen'!A:K,11,FALSE)</f>
        <v>0</v>
      </c>
      <c r="X675" s="163"/>
      <c r="Z675" s="129">
        <f t="shared" si="54"/>
        <v>0</v>
      </c>
    </row>
    <row r="676" spans="1:26" ht="14.1" customHeight="1">
      <c r="A676" s="144">
        <v>682</v>
      </c>
      <c r="B676" s="485" t="s">
        <v>254</v>
      </c>
      <c r="C676" s="303" t="s">
        <v>767</v>
      </c>
      <c r="D676" s="304" t="s">
        <v>98</v>
      </c>
      <c r="E676" s="694" t="s">
        <v>315</v>
      </c>
      <c r="F676" s="303" t="s">
        <v>267</v>
      </c>
      <c r="G676" s="303" t="s">
        <v>18</v>
      </c>
      <c r="H676" s="303" t="s">
        <v>955</v>
      </c>
      <c r="I676" s="582" t="str">
        <f>VLOOKUP(H676,'9a-Typen vloeren'!$A$10:$B$40,2,FALSE)</f>
        <v>zie kwaliteitsontwerp</v>
      </c>
      <c r="J676" s="588">
        <v>5.2</v>
      </c>
      <c r="K676" s="433">
        <f t="shared" si="50"/>
        <v>0</v>
      </c>
      <c r="L676" s="433">
        <f t="shared" si="51"/>
        <v>0</v>
      </c>
      <c r="M676" s="433">
        <f t="shared" si="52"/>
        <v>0</v>
      </c>
      <c r="N676" s="672"/>
      <c r="O676" s="729">
        <f>IF(N676="",0,N676*K676/'9b-Vloeronderhoud'!$F$4)</f>
        <v>0</v>
      </c>
      <c r="P676" s="672"/>
      <c r="Q676" s="729" t="e">
        <f>IF(O676="",0,P676*L676/'9b-Vloeronderhoud'!$F$6)</f>
        <v>#DIV/0!</v>
      </c>
      <c r="R676" s="449">
        <v>1</v>
      </c>
      <c r="S676" s="672">
        <v>190</v>
      </c>
      <c r="T676" s="161" t="e">
        <f t="shared" si="53"/>
        <v>#DIV/0!</v>
      </c>
      <c r="U676" s="162">
        <f>IF(S676="nio",0,IF(S676&gt;0,VLOOKUP(G676,'3-Productie normen'!A:K,VLOOKUP(S676,'3-Productie normen'!L:N,3,FALSE),FALSE)))</f>
        <v>0</v>
      </c>
      <c r="V676" s="162">
        <f>VLOOKUP(G676,'3-Productie normen'!A:K,10,FALSE)</f>
        <v>1859.5880019121171</v>
      </c>
      <c r="W676" s="163">
        <f>VLOOKUP(G676,'3-Productie normen'!A:K,11,FALSE)</f>
        <v>0</v>
      </c>
      <c r="X676" s="163"/>
      <c r="Z676" s="129">
        <f t="shared" si="54"/>
        <v>988</v>
      </c>
    </row>
    <row r="677" spans="1:26" ht="14.1" customHeight="1">
      <c r="A677" s="144">
        <v>683</v>
      </c>
      <c r="B677" s="485" t="s">
        <v>254</v>
      </c>
      <c r="C677" s="303" t="s">
        <v>767</v>
      </c>
      <c r="D677" s="304" t="s">
        <v>98</v>
      </c>
      <c r="E677" s="694" t="s">
        <v>317</v>
      </c>
      <c r="F677" s="494" t="s">
        <v>774</v>
      </c>
      <c r="G677" s="460" t="s">
        <v>221</v>
      </c>
      <c r="H677" s="542" t="s">
        <v>100</v>
      </c>
      <c r="I677" s="582" t="str">
        <f>VLOOKUP(H677,'9a-Typen vloeren'!$A$10:$B$40,2,FALSE)</f>
        <v>Sprayen/ conserveren</v>
      </c>
      <c r="J677" s="588">
        <v>56.9</v>
      </c>
      <c r="K677" s="433">
        <f t="shared" si="50"/>
        <v>56.9</v>
      </c>
      <c r="L677" s="433">
        <f t="shared" si="51"/>
        <v>0</v>
      </c>
      <c r="M677" s="433">
        <f t="shared" si="52"/>
        <v>0</v>
      </c>
      <c r="N677" s="672"/>
      <c r="O677" s="729">
        <f>IF(N677="",0,N677*K677/'9b-Vloeronderhoud'!$F$4)</f>
        <v>0</v>
      </c>
      <c r="P677" s="672"/>
      <c r="Q677" s="729" t="e">
        <f>IF(O677="",0,P677*L677/'9b-Vloeronderhoud'!$F$6)</f>
        <v>#DIV/0!</v>
      </c>
      <c r="R677" s="449">
        <v>1</v>
      </c>
      <c r="S677" s="672">
        <v>80</v>
      </c>
      <c r="T677" s="161" t="e">
        <f t="shared" si="53"/>
        <v>#DIV/0!</v>
      </c>
      <c r="U677" s="162">
        <f>IF(S677="nio",0,IF(S677&gt;0,VLOOKUP(G677,'3-Productie normen'!A:K,VLOOKUP(S677,'3-Productie normen'!L:N,3,FALSE),FALSE)))</f>
        <v>0</v>
      </c>
      <c r="V677" s="162">
        <f>VLOOKUP(G677,'3-Productie normen'!A:K,10,FALSE)</f>
        <v>16013.110036668773</v>
      </c>
      <c r="W677" s="163">
        <f>VLOOKUP(G677,'3-Productie normen'!A:K,11,FALSE)</f>
        <v>0</v>
      </c>
      <c r="X677" s="163"/>
      <c r="Z677" s="129">
        <f t="shared" si="54"/>
        <v>4552</v>
      </c>
    </row>
    <row r="678" spans="1:26" ht="14.1" customHeight="1">
      <c r="A678" s="144">
        <v>684</v>
      </c>
      <c r="B678" s="485" t="s">
        <v>254</v>
      </c>
      <c r="C678" s="303" t="s">
        <v>767</v>
      </c>
      <c r="D678" s="304" t="s">
        <v>98</v>
      </c>
      <c r="E678" s="694" t="s">
        <v>318</v>
      </c>
      <c r="F678" s="303" t="s">
        <v>267</v>
      </c>
      <c r="G678" s="533" t="s">
        <v>18</v>
      </c>
      <c r="H678" s="303" t="s">
        <v>955</v>
      </c>
      <c r="I678" s="582" t="str">
        <f>VLOOKUP(H678,'9a-Typen vloeren'!$A$10:$B$40,2,FALSE)</f>
        <v>zie kwaliteitsontwerp</v>
      </c>
      <c r="J678" s="588">
        <v>5.2</v>
      </c>
      <c r="K678" s="433">
        <f t="shared" si="50"/>
        <v>0</v>
      </c>
      <c r="L678" s="433">
        <f t="shared" si="51"/>
        <v>0</v>
      </c>
      <c r="M678" s="433">
        <f t="shared" si="52"/>
        <v>0</v>
      </c>
      <c r="N678" s="672"/>
      <c r="O678" s="729">
        <f>IF(N678="",0,N678*K678/'9b-Vloeronderhoud'!$F$4)</f>
        <v>0</v>
      </c>
      <c r="P678" s="672"/>
      <c r="Q678" s="729" t="e">
        <f>IF(O678="",0,P678*L678/'9b-Vloeronderhoud'!$F$6)</f>
        <v>#DIV/0!</v>
      </c>
      <c r="R678" s="449">
        <v>1</v>
      </c>
      <c r="S678" s="672">
        <v>190</v>
      </c>
      <c r="T678" s="161" t="e">
        <f t="shared" si="53"/>
        <v>#DIV/0!</v>
      </c>
      <c r="U678" s="162">
        <f>IF(S678="nio",0,IF(S678&gt;0,VLOOKUP(G678,'3-Productie normen'!A:K,VLOOKUP(S678,'3-Productie normen'!L:N,3,FALSE),FALSE)))</f>
        <v>0</v>
      </c>
      <c r="V678" s="162">
        <f>VLOOKUP(G678,'3-Productie normen'!A:K,10,FALSE)</f>
        <v>1859.5880019121171</v>
      </c>
      <c r="W678" s="163">
        <f>VLOOKUP(G678,'3-Productie normen'!A:K,11,FALSE)</f>
        <v>0</v>
      </c>
      <c r="X678" s="163"/>
      <c r="Z678" s="129">
        <f t="shared" si="54"/>
        <v>988</v>
      </c>
    </row>
    <row r="679" spans="1:26" ht="14.1" customHeight="1">
      <c r="A679" s="144">
        <v>685</v>
      </c>
      <c r="B679" s="485" t="s">
        <v>254</v>
      </c>
      <c r="C679" s="303" t="s">
        <v>767</v>
      </c>
      <c r="D679" s="304" t="s">
        <v>98</v>
      </c>
      <c r="E679" s="694" t="s">
        <v>319</v>
      </c>
      <c r="F679" s="303" t="s">
        <v>552</v>
      </c>
      <c r="G679" s="460" t="s">
        <v>881</v>
      </c>
      <c r="H679" s="542" t="s">
        <v>100</v>
      </c>
      <c r="I679" s="582" t="str">
        <f>VLOOKUP(H679,'9a-Typen vloeren'!$A$10:$B$40,2,FALSE)</f>
        <v>Sprayen/ conserveren</v>
      </c>
      <c r="J679" s="588">
        <v>12.2</v>
      </c>
      <c r="K679" s="433">
        <f t="shared" si="50"/>
        <v>0</v>
      </c>
      <c r="L679" s="433">
        <f t="shared" si="51"/>
        <v>0</v>
      </c>
      <c r="M679" s="433">
        <f t="shared" si="52"/>
        <v>0</v>
      </c>
      <c r="N679" s="672"/>
      <c r="O679" s="729">
        <f>IF(N679="",0,N679*K679/'9b-Vloeronderhoud'!$F$4)</f>
        <v>0</v>
      </c>
      <c r="P679" s="672"/>
      <c r="Q679" s="729" t="e">
        <f>IF(O679="",0,P679*L679/'9b-Vloeronderhoud'!$F$6)</f>
        <v>#DIV/0!</v>
      </c>
      <c r="R679" s="449">
        <v>1</v>
      </c>
      <c r="S679" s="672" t="s">
        <v>179</v>
      </c>
      <c r="T679" s="161">
        <f t="shared" si="53"/>
        <v>0</v>
      </c>
      <c r="U679" s="162">
        <f>IF(S679="nio",0,IF(S679&gt;0,VLOOKUP(G679,'3-Productie normen'!A:K,VLOOKUP(S679,'3-Productie normen'!L:N,3,FALSE),FALSE)))</f>
        <v>0</v>
      </c>
      <c r="V679" s="162">
        <f>VLOOKUP(G679,'3-Productie normen'!A:K,10,FALSE)</f>
        <v>5262.809993648526</v>
      </c>
      <c r="W679" s="163">
        <f>VLOOKUP(G679,'3-Productie normen'!A:K,11,FALSE)</f>
        <v>0</v>
      </c>
      <c r="X679" s="163"/>
      <c r="Z679" s="129">
        <f t="shared" si="54"/>
        <v>0</v>
      </c>
    </row>
    <row r="680" spans="1:26" ht="14.1" customHeight="1">
      <c r="A680" s="144">
        <v>686</v>
      </c>
      <c r="B680" s="485" t="s">
        <v>254</v>
      </c>
      <c r="C680" s="303" t="s">
        <v>767</v>
      </c>
      <c r="D680" s="304" t="s">
        <v>98</v>
      </c>
      <c r="E680" s="694" t="s">
        <v>320</v>
      </c>
      <c r="F680" s="303" t="s">
        <v>775</v>
      </c>
      <c r="G680" s="546" t="s">
        <v>221</v>
      </c>
      <c r="H680" s="542" t="s">
        <v>100</v>
      </c>
      <c r="I680" s="582" t="str">
        <f>VLOOKUP(H680,'9a-Typen vloeren'!$A$10:$B$40,2,FALSE)</f>
        <v>Sprayen/ conserveren</v>
      </c>
      <c r="J680" s="588">
        <v>56.9</v>
      </c>
      <c r="K680" s="433">
        <f t="shared" si="50"/>
        <v>56.9</v>
      </c>
      <c r="L680" s="433">
        <f t="shared" si="51"/>
        <v>0</v>
      </c>
      <c r="M680" s="433">
        <f t="shared" si="52"/>
        <v>0</v>
      </c>
      <c r="N680" s="672"/>
      <c r="O680" s="729">
        <f>IF(N680="",0,N680*K680/'9b-Vloeronderhoud'!$F$4)</f>
        <v>0</v>
      </c>
      <c r="P680" s="672"/>
      <c r="Q680" s="729" t="e">
        <f>IF(O680="",0,P680*L680/'9b-Vloeronderhoud'!$F$6)</f>
        <v>#DIV/0!</v>
      </c>
      <c r="R680" s="449">
        <v>1</v>
      </c>
      <c r="S680" s="672">
        <v>80</v>
      </c>
      <c r="T680" s="161" t="e">
        <f t="shared" si="53"/>
        <v>#DIV/0!</v>
      </c>
      <c r="U680" s="162">
        <f>IF(S680="nio",0,IF(S680&gt;0,VLOOKUP(G680,'3-Productie normen'!A:K,VLOOKUP(S680,'3-Productie normen'!L:N,3,FALSE),FALSE)))</f>
        <v>0</v>
      </c>
      <c r="V680" s="162">
        <f>VLOOKUP(G680,'3-Productie normen'!A:K,10,FALSE)</f>
        <v>16013.110036668773</v>
      </c>
      <c r="W680" s="163">
        <f>VLOOKUP(G680,'3-Productie normen'!A:K,11,FALSE)</f>
        <v>0</v>
      </c>
      <c r="X680" s="163"/>
      <c r="Z680" s="129">
        <f t="shared" si="54"/>
        <v>4552</v>
      </c>
    </row>
    <row r="681" spans="1:26" ht="14.1" customHeight="1">
      <c r="A681" s="144">
        <v>687</v>
      </c>
      <c r="B681" s="485" t="s">
        <v>254</v>
      </c>
      <c r="C681" s="303" t="s">
        <v>767</v>
      </c>
      <c r="D681" s="304" t="s">
        <v>98</v>
      </c>
      <c r="E681" s="694" t="s">
        <v>321</v>
      </c>
      <c r="F681" s="303" t="s">
        <v>267</v>
      </c>
      <c r="G681" s="303" t="s">
        <v>18</v>
      </c>
      <c r="H681" s="303" t="s">
        <v>955</v>
      </c>
      <c r="I681" s="582" t="str">
        <f>VLOOKUP(H681,'9a-Typen vloeren'!$A$10:$B$40,2,FALSE)</f>
        <v>zie kwaliteitsontwerp</v>
      </c>
      <c r="J681" s="588">
        <v>5.2</v>
      </c>
      <c r="K681" s="433">
        <f t="shared" si="50"/>
        <v>0</v>
      </c>
      <c r="L681" s="433">
        <f t="shared" si="51"/>
        <v>0</v>
      </c>
      <c r="M681" s="433">
        <f t="shared" si="52"/>
        <v>0</v>
      </c>
      <c r="N681" s="672"/>
      <c r="O681" s="729">
        <f>IF(N681="",0,N681*K681/'9b-Vloeronderhoud'!$F$4)</f>
        <v>0</v>
      </c>
      <c r="P681" s="672"/>
      <c r="Q681" s="729" t="e">
        <f>IF(O681="",0,P681*L681/'9b-Vloeronderhoud'!$F$6)</f>
        <v>#DIV/0!</v>
      </c>
      <c r="R681" s="449">
        <v>1</v>
      </c>
      <c r="S681" s="672">
        <v>190</v>
      </c>
      <c r="T681" s="161" t="e">
        <f t="shared" si="53"/>
        <v>#DIV/0!</v>
      </c>
      <c r="U681" s="162">
        <f>IF(S681="nio",0,IF(S681&gt;0,VLOOKUP(G681,'3-Productie normen'!A:K,VLOOKUP(S681,'3-Productie normen'!L:N,3,FALSE),FALSE)))</f>
        <v>0</v>
      </c>
      <c r="V681" s="162">
        <f>VLOOKUP(G681,'3-Productie normen'!A:K,10,FALSE)</f>
        <v>1859.5880019121171</v>
      </c>
      <c r="W681" s="163">
        <f>VLOOKUP(G681,'3-Productie normen'!A:K,11,FALSE)</f>
        <v>0</v>
      </c>
      <c r="X681" s="163"/>
      <c r="Z681" s="129">
        <f t="shared" si="54"/>
        <v>988</v>
      </c>
    </row>
    <row r="682" spans="1:26" ht="14.1" customHeight="1">
      <c r="A682" s="144">
        <v>688</v>
      </c>
      <c r="B682" s="485" t="s">
        <v>254</v>
      </c>
      <c r="C682" s="303" t="s">
        <v>767</v>
      </c>
      <c r="D682" s="304" t="s">
        <v>98</v>
      </c>
      <c r="E682" s="694" t="s">
        <v>323</v>
      </c>
      <c r="F682" s="303" t="s">
        <v>776</v>
      </c>
      <c r="G682" s="460" t="s">
        <v>221</v>
      </c>
      <c r="H682" s="542" t="s">
        <v>100</v>
      </c>
      <c r="I682" s="582" t="str">
        <f>VLOOKUP(H682,'9a-Typen vloeren'!$A$10:$B$40,2,FALSE)</f>
        <v>Sprayen/ conserveren</v>
      </c>
      <c r="J682" s="588">
        <v>56.9</v>
      </c>
      <c r="K682" s="433">
        <f t="shared" si="50"/>
        <v>56.9</v>
      </c>
      <c r="L682" s="433">
        <f t="shared" si="51"/>
        <v>0</v>
      </c>
      <c r="M682" s="433">
        <f t="shared" si="52"/>
        <v>0</v>
      </c>
      <c r="N682" s="672"/>
      <c r="O682" s="729">
        <f>IF(N682="",0,N682*K682/'9b-Vloeronderhoud'!$F$4)</f>
        <v>0</v>
      </c>
      <c r="P682" s="672"/>
      <c r="Q682" s="729" t="e">
        <f>IF(O682="",0,P682*L682/'9b-Vloeronderhoud'!$F$6)</f>
        <v>#DIV/0!</v>
      </c>
      <c r="R682" s="449">
        <v>1</v>
      </c>
      <c r="S682" s="672">
        <v>80</v>
      </c>
      <c r="T682" s="161" t="e">
        <f t="shared" si="53"/>
        <v>#DIV/0!</v>
      </c>
      <c r="U682" s="162">
        <f>IF(S682="nio",0,IF(S682&gt;0,VLOOKUP(G682,'3-Productie normen'!A:K,VLOOKUP(S682,'3-Productie normen'!L:N,3,FALSE),FALSE)))</f>
        <v>0</v>
      </c>
      <c r="V682" s="162">
        <f>VLOOKUP(G682,'3-Productie normen'!A:K,10,FALSE)</f>
        <v>16013.110036668773</v>
      </c>
      <c r="W682" s="163">
        <f>VLOOKUP(G682,'3-Productie normen'!A:K,11,FALSE)</f>
        <v>0</v>
      </c>
      <c r="X682" s="163"/>
      <c r="Z682" s="129">
        <f t="shared" si="54"/>
        <v>4552</v>
      </c>
    </row>
    <row r="683" spans="1:26" ht="14.1" customHeight="1">
      <c r="A683" s="144">
        <v>689</v>
      </c>
      <c r="B683" s="485" t="s">
        <v>254</v>
      </c>
      <c r="C683" s="303" t="s">
        <v>767</v>
      </c>
      <c r="D683" s="304" t="s">
        <v>98</v>
      </c>
      <c r="E683" s="694" t="s">
        <v>325</v>
      </c>
      <c r="F683" s="303" t="s">
        <v>267</v>
      </c>
      <c r="G683" s="171" t="s">
        <v>18</v>
      </c>
      <c r="H683" s="303" t="s">
        <v>955</v>
      </c>
      <c r="I683" s="582" t="str">
        <f>VLOOKUP(H683,'9a-Typen vloeren'!$A$10:$B$40,2,FALSE)</f>
        <v>zie kwaliteitsontwerp</v>
      </c>
      <c r="J683" s="588">
        <v>5.2</v>
      </c>
      <c r="K683" s="433">
        <f t="shared" si="50"/>
        <v>0</v>
      </c>
      <c r="L683" s="433">
        <f t="shared" si="51"/>
        <v>0</v>
      </c>
      <c r="M683" s="433">
        <f t="shared" si="52"/>
        <v>0</v>
      </c>
      <c r="N683" s="672"/>
      <c r="O683" s="729">
        <f>IF(N683="",0,N683*K683/'9b-Vloeronderhoud'!$F$4)</f>
        <v>0</v>
      </c>
      <c r="P683" s="672"/>
      <c r="Q683" s="729" t="e">
        <f>IF(O683="",0,P683*L683/'9b-Vloeronderhoud'!$F$6)</f>
        <v>#DIV/0!</v>
      </c>
      <c r="R683" s="449">
        <v>1</v>
      </c>
      <c r="S683" s="672">
        <v>190</v>
      </c>
      <c r="T683" s="161" t="e">
        <f t="shared" si="53"/>
        <v>#DIV/0!</v>
      </c>
      <c r="U683" s="162">
        <f>IF(S683="nio",0,IF(S683&gt;0,VLOOKUP(G683,'3-Productie normen'!A:K,VLOOKUP(S683,'3-Productie normen'!L:N,3,FALSE),FALSE)))</f>
        <v>0</v>
      </c>
      <c r="V683" s="162">
        <f>VLOOKUP(G683,'3-Productie normen'!A:K,10,FALSE)</f>
        <v>1859.5880019121171</v>
      </c>
      <c r="W683" s="163">
        <f>VLOOKUP(G683,'3-Productie normen'!A:K,11,FALSE)</f>
        <v>0</v>
      </c>
      <c r="X683" s="163"/>
      <c r="Z683" s="129">
        <f t="shared" si="54"/>
        <v>988</v>
      </c>
    </row>
    <row r="684" spans="1:26" ht="14.1" customHeight="1">
      <c r="A684" s="144">
        <v>690</v>
      </c>
      <c r="B684" s="485" t="s">
        <v>254</v>
      </c>
      <c r="C684" s="303" t="s">
        <v>767</v>
      </c>
      <c r="D684" s="304" t="s">
        <v>98</v>
      </c>
      <c r="E684" s="694" t="s">
        <v>326</v>
      </c>
      <c r="F684" s="303" t="s">
        <v>777</v>
      </c>
      <c r="G684" s="126" t="s">
        <v>862</v>
      </c>
      <c r="H684" s="542" t="s">
        <v>100</v>
      </c>
      <c r="I684" s="582" t="str">
        <f>VLOOKUP(H684,'9a-Typen vloeren'!$A$10:$B$40,2,FALSE)</f>
        <v>Sprayen/ conserveren</v>
      </c>
      <c r="J684" s="588">
        <v>62.3</v>
      </c>
      <c r="K684" s="433">
        <f t="shared" si="50"/>
        <v>62.3</v>
      </c>
      <c r="L684" s="433">
        <f t="shared" si="51"/>
        <v>0</v>
      </c>
      <c r="M684" s="433">
        <f t="shared" si="52"/>
        <v>0</v>
      </c>
      <c r="N684" s="672">
        <v>2</v>
      </c>
      <c r="O684" s="729" t="e">
        <f>IF(N684="",0,N684*K684/'9b-Vloeronderhoud'!$F$4)</f>
        <v>#DIV/0!</v>
      </c>
      <c r="P684" s="672"/>
      <c r="Q684" s="729" t="e">
        <f>IF(O684="",0,P684*L684/'9b-Vloeronderhoud'!$F$6)</f>
        <v>#DIV/0!</v>
      </c>
      <c r="R684" s="449">
        <v>1</v>
      </c>
      <c r="S684" s="672">
        <v>120</v>
      </c>
      <c r="T684" s="161" t="e">
        <f t="shared" si="53"/>
        <v>#DIV/0!</v>
      </c>
      <c r="U684" s="162">
        <f>IF(S684="nio",0,IF(S684&gt;0,VLOOKUP(G684,'3-Productie normen'!A:K,VLOOKUP(S684,'3-Productie normen'!L:N,3,FALSE),FALSE)))</f>
        <v>0</v>
      </c>
      <c r="V684" s="162">
        <f>VLOOKUP(G684,'3-Productie normen'!A:K,10,FALSE)</f>
        <v>4374.9900215911857</v>
      </c>
      <c r="W684" s="163">
        <f>VLOOKUP(G684,'3-Productie normen'!A:K,11,FALSE)</f>
        <v>0</v>
      </c>
      <c r="X684" s="163"/>
      <c r="Z684" s="129">
        <f t="shared" si="54"/>
        <v>7476</v>
      </c>
    </row>
    <row r="685" spans="1:26" ht="14.1" customHeight="1">
      <c r="A685" s="144">
        <v>691</v>
      </c>
      <c r="B685" s="485" t="s">
        <v>254</v>
      </c>
      <c r="C685" s="303" t="s">
        <v>767</v>
      </c>
      <c r="D685" s="304" t="s">
        <v>98</v>
      </c>
      <c r="E685" s="694" t="s">
        <v>328</v>
      </c>
      <c r="F685" s="494" t="s">
        <v>489</v>
      </c>
      <c r="G685" s="460" t="s">
        <v>99</v>
      </c>
      <c r="H685" s="542" t="s">
        <v>802</v>
      </c>
      <c r="I685" s="582" t="str">
        <f>VLOOKUP(H685,'9a-Typen vloeren'!$A$10:$B$40,2,FALSE)</f>
        <v>n.v.t.</v>
      </c>
      <c r="J685" s="588">
        <v>4.4000000000000004</v>
      </c>
      <c r="K685" s="433">
        <f t="shared" si="50"/>
        <v>0</v>
      </c>
      <c r="L685" s="433">
        <f t="shared" si="51"/>
        <v>0</v>
      </c>
      <c r="M685" s="433">
        <f t="shared" si="52"/>
        <v>0</v>
      </c>
      <c r="N685" s="672"/>
      <c r="O685" s="729">
        <f>IF(N685="",0,N685*K685/'9b-Vloeronderhoud'!$F$4)</f>
        <v>0</v>
      </c>
      <c r="P685" s="672"/>
      <c r="Q685" s="729" t="e">
        <f>IF(O685="",0,P685*L685/'9b-Vloeronderhoud'!$F$6)</f>
        <v>#DIV/0!</v>
      </c>
      <c r="R685" s="449">
        <v>1</v>
      </c>
      <c r="S685" s="672">
        <v>190</v>
      </c>
      <c r="T685" s="161" t="e">
        <f t="shared" si="53"/>
        <v>#DIV/0!</v>
      </c>
      <c r="U685" s="162">
        <f>IF(S685="nio",0,IF(S685&gt;0,VLOOKUP(G685,'3-Productie normen'!A:K,VLOOKUP(S685,'3-Productie normen'!L:N,3,FALSE),FALSE)))</f>
        <v>0</v>
      </c>
      <c r="V685" s="162">
        <f>VLOOKUP(G685,'3-Productie normen'!A:K,10,FALSE)</f>
        <v>726.97999910354622</v>
      </c>
      <c r="W685" s="163">
        <f>VLOOKUP(G685,'3-Productie normen'!A:K,11,FALSE)</f>
        <v>0</v>
      </c>
      <c r="X685" s="163"/>
      <c r="Z685" s="129">
        <f t="shared" si="54"/>
        <v>836.00000000000011</v>
      </c>
    </row>
    <row r="686" spans="1:26" ht="14.1" customHeight="1">
      <c r="A686" s="144">
        <v>692</v>
      </c>
      <c r="B686" s="485" t="s">
        <v>254</v>
      </c>
      <c r="C686" s="303" t="s">
        <v>767</v>
      </c>
      <c r="D686" s="304" t="s">
        <v>98</v>
      </c>
      <c r="E686" s="694" t="s">
        <v>329</v>
      </c>
      <c r="F686" s="303" t="s">
        <v>346</v>
      </c>
      <c r="G686" s="460" t="s">
        <v>881</v>
      </c>
      <c r="H686" s="542" t="s">
        <v>100</v>
      </c>
      <c r="I686" s="582" t="str">
        <f>VLOOKUP(H686,'9a-Typen vloeren'!$A$10:$B$40,2,FALSE)</f>
        <v>Sprayen/ conserveren</v>
      </c>
      <c r="J686" s="588">
        <v>8.1</v>
      </c>
      <c r="K686" s="433">
        <f t="shared" si="50"/>
        <v>0</v>
      </c>
      <c r="L686" s="433">
        <f t="shared" si="51"/>
        <v>0</v>
      </c>
      <c r="M686" s="433">
        <f t="shared" si="52"/>
        <v>0</v>
      </c>
      <c r="N686" s="672"/>
      <c r="O686" s="729">
        <f>IF(N686="",0,N686*K686/'9b-Vloeronderhoud'!$F$4)</f>
        <v>0</v>
      </c>
      <c r="P686" s="672"/>
      <c r="Q686" s="729" t="e">
        <f>IF(O686="",0,P686*L686/'9b-Vloeronderhoud'!$F$6)</f>
        <v>#DIV/0!</v>
      </c>
      <c r="R686" s="449">
        <v>1</v>
      </c>
      <c r="S686" s="672" t="s">
        <v>179</v>
      </c>
      <c r="T686" s="161">
        <f t="shared" si="53"/>
        <v>0</v>
      </c>
      <c r="U686" s="162">
        <f>IF(S686="nio",0,IF(S686&gt;0,VLOOKUP(G686,'3-Productie normen'!A:K,VLOOKUP(S686,'3-Productie normen'!L:N,3,FALSE),FALSE)))</f>
        <v>0</v>
      </c>
      <c r="V686" s="162">
        <f>VLOOKUP(G686,'3-Productie normen'!A:K,10,FALSE)</f>
        <v>5262.809993648526</v>
      </c>
      <c r="W686" s="163">
        <f>VLOOKUP(G686,'3-Productie normen'!A:K,11,FALSE)</f>
        <v>0</v>
      </c>
      <c r="X686" s="163"/>
      <c r="Z686" s="129">
        <f t="shared" si="54"/>
        <v>0</v>
      </c>
    </row>
    <row r="687" spans="1:26" ht="14.1" customHeight="1">
      <c r="A687" s="144">
        <v>693</v>
      </c>
      <c r="B687" s="485" t="s">
        <v>254</v>
      </c>
      <c r="C687" s="303" t="s">
        <v>767</v>
      </c>
      <c r="D687" s="304" t="s">
        <v>98</v>
      </c>
      <c r="E687" s="694" t="s">
        <v>330</v>
      </c>
      <c r="F687" s="303" t="s">
        <v>266</v>
      </c>
      <c r="G687" s="460" t="s">
        <v>881</v>
      </c>
      <c r="H687" s="542" t="s">
        <v>100</v>
      </c>
      <c r="I687" s="582" t="str">
        <f>VLOOKUP(H687,'9a-Typen vloeren'!$A$10:$B$40,2,FALSE)</f>
        <v>Sprayen/ conserveren</v>
      </c>
      <c r="J687" s="588">
        <v>1</v>
      </c>
      <c r="K687" s="433">
        <f t="shared" si="50"/>
        <v>0</v>
      </c>
      <c r="L687" s="433">
        <f t="shared" si="51"/>
        <v>0</v>
      </c>
      <c r="M687" s="433">
        <f t="shared" si="52"/>
        <v>0</v>
      </c>
      <c r="N687" s="672"/>
      <c r="O687" s="729">
        <f>IF(N687="",0,N687*K687/'9b-Vloeronderhoud'!$F$4)</f>
        <v>0</v>
      </c>
      <c r="P687" s="672"/>
      <c r="Q687" s="729" t="e">
        <f>IF(O687="",0,P687*L687/'9b-Vloeronderhoud'!$F$6)</f>
        <v>#DIV/0!</v>
      </c>
      <c r="R687" s="449">
        <v>1</v>
      </c>
      <c r="S687" s="672" t="s">
        <v>179</v>
      </c>
      <c r="T687" s="161">
        <f t="shared" si="53"/>
        <v>0</v>
      </c>
      <c r="U687" s="162">
        <f>IF(S687="nio",0,IF(S687&gt;0,VLOOKUP(G687,'3-Productie normen'!A:K,VLOOKUP(S687,'3-Productie normen'!L:N,3,FALSE),FALSE)))</f>
        <v>0</v>
      </c>
      <c r="V687" s="162">
        <f>VLOOKUP(G687,'3-Productie normen'!A:K,10,FALSE)</f>
        <v>5262.809993648526</v>
      </c>
      <c r="W687" s="163">
        <f>VLOOKUP(G687,'3-Productie normen'!A:K,11,FALSE)</f>
        <v>0</v>
      </c>
      <c r="X687" s="163"/>
      <c r="Z687" s="129">
        <f t="shared" si="54"/>
        <v>0</v>
      </c>
    </row>
    <row r="688" spans="1:26" ht="14.1" customHeight="1">
      <c r="A688" s="144">
        <v>694</v>
      </c>
      <c r="B688" s="485" t="s">
        <v>254</v>
      </c>
      <c r="C688" s="303" t="s">
        <v>767</v>
      </c>
      <c r="D688" s="304" t="s">
        <v>98</v>
      </c>
      <c r="E688" s="694" t="s">
        <v>331</v>
      </c>
      <c r="F688" s="303" t="s">
        <v>267</v>
      </c>
      <c r="G688" s="546" t="s">
        <v>18</v>
      </c>
      <c r="H688" s="303" t="s">
        <v>955</v>
      </c>
      <c r="I688" s="582" t="str">
        <f>VLOOKUP(H688,'9a-Typen vloeren'!$A$10:$B$40,2,FALSE)</f>
        <v>zie kwaliteitsontwerp</v>
      </c>
      <c r="J688" s="588">
        <v>5.2</v>
      </c>
      <c r="K688" s="433">
        <f t="shared" si="50"/>
        <v>0</v>
      </c>
      <c r="L688" s="433">
        <f t="shared" si="51"/>
        <v>0</v>
      </c>
      <c r="M688" s="433">
        <f t="shared" si="52"/>
        <v>0</v>
      </c>
      <c r="N688" s="672"/>
      <c r="O688" s="729">
        <f>IF(N688="",0,N688*K688/'9b-Vloeronderhoud'!$F$4)</f>
        <v>0</v>
      </c>
      <c r="P688" s="672"/>
      <c r="Q688" s="729" t="e">
        <f>IF(O688="",0,P688*L688/'9b-Vloeronderhoud'!$F$6)</f>
        <v>#DIV/0!</v>
      </c>
      <c r="R688" s="449">
        <v>1</v>
      </c>
      <c r="S688" s="672">
        <v>190</v>
      </c>
      <c r="T688" s="161" t="e">
        <f t="shared" si="53"/>
        <v>#DIV/0!</v>
      </c>
      <c r="U688" s="162">
        <f>IF(S688="nio",0,IF(S688&gt;0,VLOOKUP(G688,'3-Productie normen'!A:K,VLOOKUP(S688,'3-Productie normen'!L:N,3,FALSE),FALSE)))</f>
        <v>0</v>
      </c>
      <c r="V688" s="162">
        <f>VLOOKUP(G688,'3-Productie normen'!A:K,10,FALSE)</f>
        <v>1859.5880019121171</v>
      </c>
      <c r="W688" s="163">
        <f>VLOOKUP(G688,'3-Productie normen'!A:K,11,FALSE)</f>
        <v>0</v>
      </c>
      <c r="X688" s="163"/>
      <c r="Z688" s="129">
        <f t="shared" si="54"/>
        <v>988</v>
      </c>
    </row>
    <row r="689" spans="1:26" ht="14.1" customHeight="1">
      <c r="A689" s="144">
        <v>695</v>
      </c>
      <c r="B689" s="485" t="s">
        <v>254</v>
      </c>
      <c r="C689" s="303" t="s">
        <v>767</v>
      </c>
      <c r="D689" s="304" t="s">
        <v>98</v>
      </c>
      <c r="E689" s="694" t="s">
        <v>406</v>
      </c>
      <c r="F689" s="303" t="s">
        <v>778</v>
      </c>
      <c r="G689" s="303" t="s">
        <v>221</v>
      </c>
      <c r="H689" s="542" t="s">
        <v>100</v>
      </c>
      <c r="I689" s="582" t="str">
        <f>VLOOKUP(H689,'9a-Typen vloeren'!$A$10:$B$40,2,FALSE)</f>
        <v>Sprayen/ conserveren</v>
      </c>
      <c r="J689" s="588">
        <v>59.8</v>
      </c>
      <c r="K689" s="433">
        <f t="shared" si="50"/>
        <v>59.8</v>
      </c>
      <c r="L689" s="433">
        <f t="shared" si="51"/>
        <v>0</v>
      </c>
      <c r="M689" s="433">
        <f t="shared" si="52"/>
        <v>0</v>
      </c>
      <c r="N689" s="672"/>
      <c r="O689" s="729">
        <f>IF(N689="",0,N689*K689/'9b-Vloeronderhoud'!$F$4)</f>
        <v>0</v>
      </c>
      <c r="P689" s="672"/>
      <c r="Q689" s="729" t="e">
        <f>IF(O689="",0,P689*L689/'9b-Vloeronderhoud'!$F$6)</f>
        <v>#DIV/0!</v>
      </c>
      <c r="R689" s="449">
        <v>1</v>
      </c>
      <c r="S689" s="672">
        <v>80</v>
      </c>
      <c r="T689" s="161" t="e">
        <f t="shared" si="53"/>
        <v>#DIV/0!</v>
      </c>
      <c r="U689" s="162">
        <f>IF(S689="nio",0,IF(S689&gt;0,VLOOKUP(G689,'3-Productie normen'!A:K,VLOOKUP(S689,'3-Productie normen'!L:N,3,FALSE),FALSE)))</f>
        <v>0</v>
      </c>
      <c r="V689" s="162">
        <f>VLOOKUP(G689,'3-Productie normen'!A:K,10,FALSE)</f>
        <v>16013.110036668773</v>
      </c>
      <c r="W689" s="163">
        <f>VLOOKUP(G689,'3-Productie normen'!A:K,11,FALSE)</f>
        <v>0</v>
      </c>
      <c r="X689" s="163"/>
      <c r="Z689" s="129">
        <f t="shared" si="54"/>
        <v>4784</v>
      </c>
    </row>
    <row r="690" spans="1:26" ht="14.1" customHeight="1">
      <c r="A690" s="144">
        <v>696</v>
      </c>
      <c r="B690" s="485" t="s">
        <v>254</v>
      </c>
      <c r="C690" s="303" t="s">
        <v>767</v>
      </c>
      <c r="D690" s="304" t="s">
        <v>98</v>
      </c>
      <c r="E690" s="694" t="s">
        <v>407</v>
      </c>
      <c r="F690" s="303" t="s">
        <v>489</v>
      </c>
      <c r="G690" s="460" t="s">
        <v>99</v>
      </c>
      <c r="H690" s="542" t="s">
        <v>802</v>
      </c>
      <c r="I690" s="582" t="str">
        <f>VLOOKUP(H690,'9a-Typen vloeren'!$A$10:$B$40,2,FALSE)</f>
        <v>n.v.t.</v>
      </c>
      <c r="J690" s="588">
        <v>9.9</v>
      </c>
      <c r="K690" s="433">
        <f t="shared" si="50"/>
        <v>0</v>
      </c>
      <c r="L690" s="433">
        <f t="shared" si="51"/>
        <v>0</v>
      </c>
      <c r="M690" s="433">
        <f t="shared" si="52"/>
        <v>0</v>
      </c>
      <c r="N690" s="672"/>
      <c r="O690" s="729">
        <f>IF(N690="",0,N690*K690/'9b-Vloeronderhoud'!$F$4)</f>
        <v>0</v>
      </c>
      <c r="P690" s="672"/>
      <c r="Q690" s="729" t="e">
        <f>IF(O690="",0,P690*L690/'9b-Vloeronderhoud'!$F$6)</f>
        <v>#DIV/0!</v>
      </c>
      <c r="R690" s="449">
        <v>1</v>
      </c>
      <c r="S690" s="672">
        <v>190</v>
      </c>
      <c r="T690" s="161" t="e">
        <f t="shared" si="53"/>
        <v>#DIV/0!</v>
      </c>
      <c r="U690" s="162">
        <f>IF(S690="nio",0,IF(S690&gt;0,VLOOKUP(G690,'3-Productie normen'!A:K,VLOOKUP(S690,'3-Productie normen'!L:N,3,FALSE),FALSE)))</f>
        <v>0</v>
      </c>
      <c r="V690" s="162">
        <f>VLOOKUP(G690,'3-Productie normen'!A:K,10,FALSE)</f>
        <v>726.97999910354622</v>
      </c>
      <c r="W690" s="163">
        <f>VLOOKUP(G690,'3-Productie normen'!A:K,11,FALSE)</f>
        <v>0</v>
      </c>
      <c r="X690" s="163"/>
      <c r="Z690" s="129">
        <f t="shared" si="54"/>
        <v>1881</v>
      </c>
    </row>
    <row r="691" spans="1:26" ht="14.1" customHeight="1">
      <c r="A691" s="144">
        <v>697</v>
      </c>
      <c r="B691" s="485" t="s">
        <v>254</v>
      </c>
      <c r="C691" s="303" t="s">
        <v>767</v>
      </c>
      <c r="D691" s="304" t="s">
        <v>98</v>
      </c>
      <c r="E691" s="694" t="s">
        <v>408</v>
      </c>
      <c r="F691" s="303" t="s">
        <v>571</v>
      </c>
      <c r="G691" s="460" t="s">
        <v>286</v>
      </c>
      <c r="H691" s="542" t="s">
        <v>100</v>
      </c>
      <c r="I691" s="582" t="str">
        <f>VLOOKUP(H691,'9a-Typen vloeren'!$A$10:$B$40,2,FALSE)</f>
        <v>Sprayen/ conserveren</v>
      </c>
      <c r="J691" s="588">
        <v>15.5</v>
      </c>
      <c r="K691" s="433">
        <f t="shared" si="50"/>
        <v>15.5</v>
      </c>
      <c r="L691" s="433">
        <f t="shared" si="51"/>
        <v>0</v>
      </c>
      <c r="M691" s="433">
        <f t="shared" si="52"/>
        <v>0</v>
      </c>
      <c r="N691" s="672">
        <v>2</v>
      </c>
      <c r="O691" s="729" t="e">
        <f>IF(N691="",0,N691*K691/'9b-Vloeronderhoud'!$F$4)</f>
        <v>#DIV/0!</v>
      </c>
      <c r="P691" s="672"/>
      <c r="Q691" s="729" t="e">
        <f>IF(O691="",0,P691*L691/'9b-Vloeronderhoud'!$F$6)</f>
        <v>#DIV/0!</v>
      </c>
      <c r="R691" s="449">
        <v>1</v>
      </c>
      <c r="S691" s="672">
        <v>120</v>
      </c>
      <c r="T691" s="161" t="e">
        <f t="shared" si="53"/>
        <v>#DIV/0!</v>
      </c>
      <c r="U691" s="162">
        <f>IF(S691="nio",0,IF(S691&gt;0,VLOOKUP(G691,'3-Productie normen'!A:K,VLOOKUP(S691,'3-Productie normen'!L:N,3,FALSE),FALSE)))</f>
        <v>0</v>
      </c>
      <c r="V691" s="162">
        <f>VLOOKUP(G691,'3-Productie normen'!A:K,10,FALSE)</f>
        <v>6152.9500017547598</v>
      </c>
      <c r="W691" s="163">
        <f>VLOOKUP(G691,'3-Productie normen'!A:K,11,FALSE)</f>
        <v>0</v>
      </c>
      <c r="X691" s="163"/>
      <c r="Z691" s="129">
        <f t="shared" si="54"/>
        <v>1860</v>
      </c>
    </row>
    <row r="692" spans="1:26" ht="14.1" customHeight="1">
      <c r="A692" s="144">
        <v>698</v>
      </c>
      <c r="B692" s="485" t="s">
        <v>254</v>
      </c>
      <c r="C692" s="303" t="s">
        <v>767</v>
      </c>
      <c r="D692" s="304" t="s">
        <v>98</v>
      </c>
      <c r="E692" s="694" t="s">
        <v>414</v>
      </c>
      <c r="F692" s="494" t="s">
        <v>382</v>
      </c>
      <c r="G692" s="460" t="s">
        <v>881</v>
      </c>
      <c r="H692" s="542" t="s">
        <v>100</v>
      </c>
      <c r="I692" s="582" t="str">
        <f>VLOOKUP(H692,'9a-Typen vloeren'!$A$10:$B$40,2,FALSE)</f>
        <v>Sprayen/ conserveren</v>
      </c>
      <c r="J692" s="588">
        <v>12.8</v>
      </c>
      <c r="K692" s="433">
        <f t="shared" si="50"/>
        <v>0</v>
      </c>
      <c r="L692" s="433">
        <f t="shared" si="51"/>
        <v>0</v>
      </c>
      <c r="M692" s="433">
        <f t="shared" si="52"/>
        <v>0</v>
      </c>
      <c r="N692" s="672"/>
      <c r="O692" s="729">
        <f>IF(N692="",0,N692*K692/'9b-Vloeronderhoud'!$F$4)</f>
        <v>0</v>
      </c>
      <c r="P692" s="672"/>
      <c r="Q692" s="729" t="e">
        <f>IF(O692="",0,P692*L692/'9b-Vloeronderhoud'!$F$6)</f>
        <v>#DIV/0!</v>
      </c>
      <c r="R692" s="449">
        <v>1</v>
      </c>
      <c r="S692" s="672" t="s">
        <v>179</v>
      </c>
      <c r="T692" s="161">
        <f t="shared" si="53"/>
        <v>0</v>
      </c>
      <c r="U692" s="162">
        <f>IF(S692="nio",0,IF(S692&gt;0,VLOOKUP(G692,'3-Productie normen'!A:K,VLOOKUP(S692,'3-Productie normen'!L:N,3,FALSE),FALSE)))</f>
        <v>0</v>
      </c>
      <c r="V692" s="162">
        <f>VLOOKUP(G692,'3-Productie normen'!A:K,10,FALSE)</f>
        <v>5262.809993648526</v>
      </c>
      <c r="W692" s="163">
        <f>VLOOKUP(G692,'3-Productie normen'!A:K,11,FALSE)</f>
        <v>0</v>
      </c>
      <c r="X692" s="163"/>
      <c r="Z692" s="129">
        <f t="shared" si="54"/>
        <v>0</v>
      </c>
    </row>
    <row r="693" spans="1:26" ht="14.1" customHeight="1">
      <c r="A693" s="144">
        <v>699</v>
      </c>
      <c r="B693" s="485" t="s">
        <v>254</v>
      </c>
      <c r="C693" s="303" t="s">
        <v>767</v>
      </c>
      <c r="D693" s="304" t="s">
        <v>98</v>
      </c>
      <c r="E693" s="694" t="s">
        <v>415</v>
      </c>
      <c r="F693" s="303" t="s">
        <v>267</v>
      </c>
      <c r="G693" s="303" t="s">
        <v>18</v>
      </c>
      <c r="H693" s="303" t="s">
        <v>955</v>
      </c>
      <c r="I693" s="582" t="str">
        <f>VLOOKUP(H693,'9a-Typen vloeren'!$A$10:$B$40,2,FALSE)</f>
        <v>zie kwaliteitsontwerp</v>
      </c>
      <c r="J693" s="588">
        <v>1.4</v>
      </c>
      <c r="K693" s="433">
        <f t="shared" si="50"/>
        <v>0</v>
      </c>
      <c r="L693" s="433">
        <f t="shared" si="51"/>
        <v>0</v>
      </c>
      <c r="M693" s="433">
        <f t="shared" si="52"/>
        <v>0</v>
      </c>
      <c r="N693" s="672"/>
      <c r="O693" s="729">
        <f>IF(N693="",0,N693*K693/'9b-Vloeronderhoud'!$F$4)</f>
        <v>0</v>
      </c>
      <c r="P693" s="672"/>
      <c r="Q693" s="729" t="e">
        <f>IF(O693="",0,P693*L693/'9b-Vloeronderhoud'!$F$6)</f>
        <v>#DIV/0!</v>
      </c>
      <c r="R693" s="449">
        <v>1</v>
      </c>
      <c r="S693" s="672">
        <v>190</v>
      </c>
      <c r="T693" s="161" t="e">
        <f t="shared" si="53"/>
        <v>#DIV/0!</v>
      </c>
      <c r="U693" s="162">
        <f>IF(S693="nio",0,IF(S693&gt;0,VLOOKUP(G693,'3-Productie normen'!A:K,VLOOKUP(S693,'3-Productie normen'!L:N,3,FALSE),FALSE)))</f>
        <v>0</v>
      </c>
      <c r="V693" s="162">
        <f>VLOOKUP(G693,'3-Productie normen'!A:K,10,FALSE)</f>
        <v>1859.5880019121171</v>
      </c>
      <c r="W693" s="163">
        <f>VLOOKUP(G693,'3-Productie normen'!A:K,11,FALSE)</f>
        <v>0</v>
      </c>
      <c r="X693" s="163"/>
      <c r="Z693" s="129">
        <f t="shared" si="54"/>
        <v>266</v>
      </c>
    </row>
    <row r="694" spans="1:26" ht="14.1" customHeight="1">
      <c r="A694" s="144">
        <v>700</v>
      </c>
      <c r="B694" s="485" t="s">
        <v>254</v>
      </c>
      <c r="C694" s="303" t="s">
        <v>767</v>
      </c>
      <c r="D694" s="304" t="s">
        <v>98</v>
      </c>
      <c r="E694" s="694" t="s">
        <v>416</v>
      </c>
      <c r="F694" s="303" t="s">
        <v>702</v>
      </c>
      <c r="G694" s="546" t="s">
        <v>18</v>
      </c>
      <c r="H694" s="303" t="s">
        <v>955</v>
      </c>
      <c r="I694" s="582" t="str">
        <f>VLOOKUP(H694,'9a-Typen vloeren'!$A$10:$B$40,2,FALSE)</f>
        <v>zie kwaliteitsontwerp</v>
      </c>
      <c r="J694" s="588">
        <v>2.2999999999999998</v>
      </c>
      <c r="K694" s="433">
        <f t="shared" si="50"/>
        <v>0</v>
      </c>
      <c r="L694" s="433">
        <f t="shared" si="51"/>
        <v>0</v>
      </c>
      <c r="M694" s="433">
        <f t="shared" si="52"/>
        <v>0</v>
      </c>
      <c r="N694" s="672"/>
      <c r="O694" s="729">
        <f>IF(N694="",0,N694*K694/'9b-Vloeronderhoud'!$F$4)</f>
        <v>0</v>
      </c>
      <c r="P694" s="672"/>
      <c r="Q694" s="729" t="e">
        <f>IF(O694="",0,P694*L694/'9b-Vloeronderhoud'!$F$6)</f>
        <v>#DIV/0!</v>
      </c>
      <c r="R694" s="449">
        <v>1</v>
      </c>
      <c r="S694" s="672">
        <v>190</v>
      </c>
      <c r="T694" s="161" t="e">
        <f t="shared" si="53"/>
        <v>#DIV/0!</v>
      </c>
      <c r="U694" s="162">
        <f>IF(S694="nio",0,IF(S694&gt;0,VLOOKUP(G694,'3-Productie normen'!A:K,VLOOKUP(S694,'3-Productie normen'!L:N,3,FALSE),FALSE)))</f>
        <v>0</v>
      </c>
      <c r="V694" s="162">
        <f>VLOOKUP(G694,'3-Productie normen'!A:K,10,FALSE)</f>
        <v>1859.5880019121171</v>
      </c>
      <c r="W694" s="163">
        <f>VLOOKUP(G694,'3-Productie normen'!A:K,11,FALSE)</f>
        <v>0</v>
      </c>
      <c r="X694" s="163"/>
      <c r="Z694" s="129">
        <f t="shared" si="54"/>
        <v>436.99999999999994</v>
      </c>
    </row>
    <row r="695" spans="1:26" ht="14.1" customHeight="1">
      <c r="A695" s="144">
        <v>701</v>
      </c>
      <c r="B695" s="485" t="s">
        <v>254</v>
      </c>
      <c r="C695" s="303" t="s">
        <v>767</v>
      </c>
      <c r="D695" s="304" t="s">
        <v>98</v>
      </c>
      <c r="E695" s="694" t="s">
        <v>417</v>
      </c>
      <c r="F695" s="303" t="s">
        <v>451</v>
      </c>
      <c r="G695" s="460" t="s">
        <v>881</v>
      </c>
      <c r="H695" s="542" t="s">
        <v>333</v>
      </c>
      <c r="I695" s="582" t="str">
        <f>VLOOKUP(H695,'9a-Typen vloeren'!$A$10:$B$40,2,FALSE)</f>
        <v>Schrobben</v>
      </c>
      <c r="J695" s="588">
        <v>2.2999999999999998</v>
      </c>
      <c r="K695" s="433">
        <f t="shared" si="50"/>
        <v>0</v>
      </c>
      <c r="L695" s="433">
        <f t="shared" si="51"/>
        <v>0</v>
      </c>
      <c r="M695" s="433">
        <f t="shared" si="52"/>
        <v>0</v>
      </c>
      <c r="N695" s="672"/>
      <c r="O695" s="729">
        <f>IF(N695="",0,N695*K695/'9b-Vloeronderhoud'!$F$4)</f>
        <v>0</v>
      </c>
      <c r="P695" s="672"/>
      <c r="Q695" s="729" t="e">
        <f>IF(O695="",0,P695*L695/'9b-Vloeronderhoud'!$F$6)</f>
        <v>#DIV/0!</v>
      </c>
      <c r="R695" s="449">
        <v>1</v>
      </c>
      <c r="S695" s="672" t="s">
        <v>179</v>
      </c>
      <c r="T695" s="161">
        <f t="shared" si="53"/>
        <v>0</v>
      </c>
      <c r="U695" s="162">
        <f>IF(S695="nio",0,IF(S695&gt;0,VLOOKUP(G695,'3-Productie normen'!A:K,VLOOKUP(S695,'3-Productie normen'!L:N,3,FALSE),FALSE)))</f>
        <v>0</v>
      </c>
      <c r="V695" s="162">
        <f>VLOOKUP(G695,'3-Productie normen'!A:K,10,FALSE)</f>
        <v>5262.809993648526</v>
      </c>
      <c r="W695" s="163">
        <f>VLOOKUP(G695,'3-Productie normen'!A:K,11,FALSE)</f>
        <v>0</v>
      </c>
      <c r="X695" s="163"/>
      <c r="Z695" s="129">
        <f t="shared" si="54"/>
        <v>0</v>
      </c>
    </row>
    <row r="696" spans="1:26" ht="14.1" customHeight="1">
      <c r="A696" s="144">
        <v>702</v>
      </c>
      <c r="B696" s="485" t="s">
        <v>254</v>
      </c>
      <c r="C696" s="303" t="s">
        <v>767</v>
      </c>
      <c r="D696" s="304" t="s">
        <v>98</v>
      </c>
      <c r="E696" s="694" t="s">
        <v>418</v>
      </c>
      <c r="F696" s="303" t="s">
        <v>267</v>
      </c>
      <c r="G696" s="303" t="s">
        <v>18</v>
      </c>
      <c r="H696" s="303" t="s">
        <v>955</v>
      </c>
      <c r="I696" s="582" t="str">
        <f>VLOOKUP(H696,'9a-Typen vloeren'!$A$10:$B$40,2,FALSE)</f>
        <v>zie kwaliteitsontwerp</v>
      </c>
      <c r="J696" s="588">
        <v>5.2</v>
      </c>
      <c r="K696" s="433">
        <f t="shared" si="50"/>
        <v>0</v>
      </c>
      <c r="L696" s="433">
        <f t="shared" si="51"/>
        <v>0</v>
      </c>
      <c r="M696" s="433">
        <f t="shared" si="52"/>
        <v>0</v>
      </c>
      <c r="N696" s="672"/>
      <c r="O696" s="729">
        <f>IF(N696="",0,N696*K696/'9b-Vloeronderhoud'!$F$4)</f>
        <v>0</v>
      </c>
      <c r="P696" s="672"/>
      <c r="Q696" s="729" t="e">
        <f>IF(O696="",0,P696*L696/'9b-Vloeronderhoud'!$F$6)</f>
        <v>#DIV/0!</v>
      </c>
      <c r="R696" s="449">
        <v>1</v>
      </c>
      <c r="S696" s="672">
        <v>190</v>
      </c>
      <c r="T696" s="161" t="e">
        <f t="shared" si="53"/>
        <v>#DIV/0!</v>
      </c>
      <c r="U696" s="162">
        <f>IF(S696="nio",0,IF(S696&gt;0,VLOOKUP(G696,'3-Productie normen'!A:K,VLOOKUP(S696,'3-Productie normen'!L:N,3,FALSE),FALSE)))</f>
        <v>0</v>
      </c>
      <c r="V696" s="162">
        <f>VLOOKUP(G696,'3-Productie normen'!A:K,10,FALSE)</f>
        <v>1859.5880019121171</v>
      </c>
      <c r="W696" s="163">
        <f>VLOOKUP(G696,'3-Productie normen'!A:K,11,FALSE)</f>
        <v>0</v>
      </c>
      <c r="X696" s="163"/>
      <c r="Z696" s="129">
        <f t="shared" si="54"/>
        <v>988</v>
      </c>
    </row>
    <row r="697" spans="1:26" ht="14.1" customHeight="1">
      <c r="A697" s="144">
        <v>703</v>
      </c>
      <c r="B697" s="485" t="s">
        <v>254</v>
      </c>
      <c r="C697" s="303" t="s">
        <v>767</v>
      </c>
      <c r="D697" s="304" t="s">
        <v>98</v>
      </c>
      <c r="E697" s="694" t="s">
        <v>521</v>
      </c>
      <c r="F697" s="494" t="s">
        <v>779</v>
      </c>
      <c r="G697" s="122" t="s">
        <v>221</v>
      </c>
      <c r="H697" s="542" t="s">
        <v>100</v>
      </c>
      <c r="I697" s="582" t="str">
        <f>VLOOKUP(H697,'9a-Typen vloeren'!$A$10:$B$40,2,FALSE)</f>
        <v>Sprayen/ conserveren</v>
      </c>
      <c r="J697" s="588">
        <v>59.7</v>
      </c>
      <c r="K697" s="433">
        <f t="shared" si="50"/>
        <v>59.7</v>
      </c>
      <c r="L697" s="433">
        <f t="shared" si="51"/>
        <v>0</v>
      </c>
      <c r="M697" s="433">
        <f t="shared" si="52"/>
        <v>0</v>
      </c>
      <c r="N697" s="672"/>
      <c r="O697" s="729">
        <f>IF(N697="",0,N697*K697/'9b-Vloeronderhoud'!$F$4)</f>
        <v>0</v>
      </c>
      <c r="P697" s="672"/>
      <c r="Q697" s="729" t="e">
        <f>IF(O697="",0,P697*L697/'9b-Vloeronderhoud'!$F$6)</f>
        <v>#DIV/0!</v>
      </c>
      <c r="R697" s="449">
        <v>1</v>
      </c>
      <c r="S697" s="672">
        <v>80</v>
      </c>
      <c r="T697" s="161" t="e">
        <f t="shared" si="53"/>
        <v>#DIV/0!</v>
      </c>
      <c r="U697" s="162">
        <f>IF(S697="nio",0,IF(S697&gt;0,VLOOKUP(G697,'3-Productie normen'!A:K,VLOOKUP(S697,'3-Productie normen'!L:N,3,FALSE),FALSE)))</f>
        <v>0</v>
      </c>
      <c r="V697" s="162">
        <f>VLOOKUP(G697,'3-Productie normen'!A:K,10,FALSE)</f>
        <v>16013.110036668773</v>
      </c>
      <c r="W697" s="163">
        <f>VLOOKUP(G697,'3-Productie normen'!A:K,11,FALSE)</f>
        <v>0</v>
      </c>
      <c r="X697" s="163"/>
      <c r="Z697" s="129">
        <f t="shared" si="54"/>
        <v>4776</v>
      </c>
    </row>
    <row r="698" spans="1:26" ht="14.1" customHeight="1">
      <c r="A698" s="144">
        <v>704</v>
      </c>
      <c r="B698" s="485" t="s">
        <v>254</v>
      </c>
      <c r="C698" s="303" t="s">
        <v>767</v>
      </c>
      <c r="D698" s="304" t="s">
        <v>98</v>
      </c>
      <c r="E698" s="694" t="s">
        <v>522</v>
      </c>
      <c r="F698" s="303" t="s">
        <v>780</v>
      </c>
      <c r="G698" s="303" t="s">
        <v>862</v>
      </c>
      <c r="H698" s="542" t="s">
        <v>100</v>
      </c>
      <c r="I698" s="582" t="str">
        <f>VLOOKUP(H698,'9a-Typen vloeren'!$A$10:$B$40,2,FALSE)</f>
        <v>Sprayen/ conserveren</v>
      </c>
      <c r="J698" s="588">
        <v>55.9</v>
      </c>
      <c r="K698" s="433">
        <f t="shared" si="50"/>
        <v>55.9</v>
      </c>
      <c r="L698" s="433">
        <f t="shared" si="51"/>
        <v>0</v>
      </c>
      <c r="M698" s="433">
        <f t="shared" si="52"/>
        <v>0</v>
      </c>
      <c r="N698" s="672">
        <v>2</v>
      </c>
      <c r="O698" s="729" t="e">
        <f>IF(N698="",0,N698*K698/'9b-Vloeronderhoud'!$F$4)</f>
        <v>#DIV/0!</v>
      </c>
      <c r="P698" s="672"/>
      <c r="Q698" s="729" t="e">
        <f>IF(O698="",0,P698*L698/'9b-Vloeronderhoud'!$F$6)</f>
        <v>#DIV/0!</v>
      </c>
      <c r="R698" s="449">
        <v>1</v>
      </c>
      <c r="S698" s="672">
        <v>120</v>
      </c>
      <c r="T698" s="161" t="e">
        <f t="shared" si="53"/>
        <v>#DIV/0!</v>
      </c>
      <c r="U698" s="162">
        <f>IF(S698="nio",0,IF(S698&gt;0,VLOOKUP(G698,'3-Productie normen'!A:K,VLOOKUP(S698,'3-Productie normen'!L:N,3,FALSE),FALSE)))</f>
        <v>0</v>
      </c>
      <c r="V698" s="162">
        <f>VLOOKUP(G698,'3-Productie normen'!A:K,10,FALSE)</f>
        <v>4374.9900215911857</v>
      </c>
      <c r="W698" s="163">
        <f>VLOOKUP(G698,'3-Productie normen'!A:K,11,FALSE)</f>
        <v>0</v>
      </c>
      <c r="X698" s="163"/>
      <c r="Z698" s="129">
        <f t="shared" si="54"/>
        <v>6708</v>
      </c>
    </row>
    <row r="699" spans="1:26" ht="14.1" customHeight="1">
      <c r="A699" s="144">
        <v>705</v>
      </c>
      <c r="B699" s="485" t="s">
        <v>254</v>
      </c>
      <c r="C699" s="303" t="s">
        <v>767</v>
      </c>
      <c r="D699" s="304" t="s">
        <v>98</v>
      </c>
      <c r="E699" s="694" t="s">
        <v>523</v>
      </c>
      <c r="F699" s="303" t="s">
        <v>548</v>
      </c>
      <c r="G699" s="642" t="s">
        <v>548</v>
      </c>
      <c r="H699" s="542" t="s">
        <v>376</v>
      </c>
      <c r="I699" s="582" t="str">
        <f>VLOOKUP(H699,'9a-Typen vloeren'!$A$10:$B$40,2,FALSE)</f>
        <v>Schrobben</v>
      </c>
      <c r="J699" s="588">
        <v>88.8</v>
      </c>
      <c r="K699" s="433">
        <f t="shared" si="50"/>
        <v>0</v>
      </c>
      <c r="L699" s="433">
        <f t="shared" si="51"/>
        <v>88.8</v>
      </c>
      <c r="M699" s="433">
        <f t="shared" si="52"/>
        <v>0</v>
      </c>
      <c r="N699" s="672"/>
      <c r="O699" s="729">
        <f>IF(N699="",0,N699*K699/'9b-Vloeronderhoud'!$F$4)</f>
        <v>0</v>
      </c>
      <c r="P699" s="672">
        <v>3</v>
      </c>
      <c r="Q699" s="729" t="e">
        <f>IF(O699="",0,P699*L699/'9b-Vloeronderhoud'!$F$6)</f>
        <v>#DIV/0!</v>
      </c>
      <c r="R699" s="449">
        <v>1</v>
      </c>
      <c r="S699" s="672">
        <v>80</v>
      </c>
      <c r="T699" s="161" t="e">
        <f t="shared" si="53"/>
        <v>#DIV/0!</v>
      </c>
      <c r="U699" s="162">
        <f>IF(S699="nio",0,IF(S699&gt;0,VLOOKUP(G699,'3-Productie normen'!A:K,VLOOKUP(S699,'3-Productie normen'!L:N,3,FALSE),FALSE)))</f>
        <v>0</v>
      </c>
      <c r="V699" s="162">
        <f>VLOOKUP(G699,'3-Productie normen'!A:K,10,FALSE)</f>
        <v>994.10000000000014</v>
      </c>
      <c r="W699" s="163">
        <f>VLOOKUP(G699,'3-Productie normen'!A:K,11,FALSE)</f>
        <v>0</v>
      </c>
      <c r="X699" s="163"/>
      <c r="Z699" s="129">
        <f t="shared" si="54"/>
        <v>7104</v>
      </c>
    </row>
    <row r="700" spans="1:26" ht="14.1" customHeight="1">
      <c r="A700" s="144">
        <v>706</v>
      </c>
      <c r="B700" s="485" t="s">
        <v>254</v>
      </c>
      <c r="C700" s="303" t="s">
        <v>767</v>
      </c>
      <c r="D700" s="304" t="s">
        <v>98</v>
      </c>
      <c r="E700" s="694" t="s">
        <v>524</v>
      </c>
      <c r="F700" s="303" t="s">
        <v>781</v>
      </c>
      <c r="G700" s="460" t="s">
        <v>881</v>
      </c>
      <c r="H700" s="534" t="s">
        <v>101</v>
      </c>
      <c r="I700" s="582" t="str">
        <f>VLOOKUP(H700,'9a-Typen vloeren'!$A$10:$B$40,2,FALSE)</f>
        <v>Schrobben</v>
      </c>
      <c r="J700" s="588">
        <v>19.5</v>
      </c>
      <c r="K700" s="433">
        <f t="shared" si="50"/>
        <v>0</v>
      </c>
      <c r="L700" s="433">
        <f t="shared" si="51"/>
        <v>0</v>
      </c>
      <c r="M700" s="433">
        <f t="shared" si="52"/>
        <v>0</v>
      </c>
      <c r="N700" s="672"/>
      <c r="O700" s="729">
        <f>IF(N700="",0,N700*K700/'9b-Vloeronderhoud'!$F$4)</f>
        <v>0</v>
      </c>
      <c r="P700" s="672"/>
      <c r="Q700" s="729" t="e">
        <f>IF(O700="",0,P700*L700/'9b-Vloeronderhoud'!$F$6)</f>
        <v>#DIV/0!</v>
      </c>
      <c r="R700" s="449">
        <v>1</v>
      </c>
      <c r="S700" s="672" t="s">
        <v>179</v>
      </c>
      <c r="T700" s="161">
        <f t="shared" si="53"/>
        <v>0</v>
      </c>
      <c r="U700" s="162">
        <f>IF(S700="nio",0,IF(S700&gt;0,VLOOKUP(G700,'3-Productie normen'!A:K,VLOOKUP(S700,'3-Productie normen'!L:N,3,FALSE),FALSE)))</f>
        <v>0</v>
      </c>
      <c r="V700" s="162">
        <f>VLOOKUP(G700,'3-Productie normen'!A:K,10,FALSE)</f>
        <v>5262.809993648526</v>
      </c>
      <c r="W700" s="163">
        <f>VLOOKUP(G700,'3-Productie normen'!A:K,11,FALSE)</f>
        <v>0</v>
      </c>
      <c r="X700" s="163"/>
      <c r="Z700" s="129">
        <f t="shared" si="54"/>
        <v>0</v>
      </c>
    </row>
    <row r="701" spans="1:26" ht="14.1" customHeight="1">
      <c r="A701" s="144">
        <v>707</v>
      </c>
      <c r="B701" s="485" t="s">
        <v>254</v>
      </c>
      <c r="C701" s="303" t="s">
        <v>767</v>
      </c>
      <c r="D701" s="304" t="s">
        <v>98</v>
      </c>
      <c r="E701" s="694" t="s">
        <v>538</v>
      </c>
      <c r="F701" s="303" t="s">
        <v>582</v>
      </c>
      <c r="G701" s="460" t="s">
        <v>189</v>
      </c>
      <c r="H701" s="303" t="s">
        <v>332</v>
      </c>
      <c r="I701" s="582" t="str">
        <f>VLOOKUP(H701,'9a-Typen vloeren'!$A$10:$B$40,2,FALSE)</f>
        <v>Sproei/extraheren</v>
      </c>
      <c r="J701" s="588">
        <v>19.100000000000001</v>
      </c>
      <c r="K701" s="433">
        <f t="shared" si="50"/>
        <v>0</v>
      </c>
      <c r="L701" s="433">
        <f t="shared" si="51"/>
        <v>0</v>
      </c>
      <c r="M701" s="433">
        <f t="shared" si="52"/>
        <v>19.100000000000001</v>
      </c>
      <c r="N701" s="672"/>
      <c r="O701" s="729">
        <f>IF(N701="",0,N701*K701/'9b-Vloeronderhoud'!$F$4)</f>
        <v>0</v>
      </c>
      <c r="P701" s="672"/>
      <c r="Q701" s="729" t="e">
        <f>IF(O701="",0,P701*L701/'9b-Vloeronderhoud'!$F$6)</f>
        <v>#DIV/0!</v>
      </c>
      <c r="R701" s="449">
        <v>1</v>
      </c>
      <c r="S701" s="672">
        <v>40</v>
      </c>
      <c r="T701" s="161" t="e">
        <f t="shared" si="53"/>
        <v>#DIV/0!</v>
      </c>
      <c r="U701" s="162">
        <f>IF(S701="nio",0,IF(S701&gt;0,VLOOKUP(G701,'3-Productie normen'!A:K,VLOOKUP(S701,'3-Productie normen'!L:N,3,FALSE),FALSE)))</f>
        <v>0</v>
      </c>
      <c r="V701" s="162">
        <f>VLOOKUP(G701,'3-Productie normen'!A:K,10,FALSE)</f>
        <v>1494.1700078582762</v>
      </c>
      <c r="W701" s="163">
        <f>VLOOKUP(G701,'3-Productie normen'!A:K,11,FALSE)</f>
        <v>0</v>
      </c>
      <c r="X701" s="163"/>
      <c r="Z701" s="129">
        <f t="shared" si="54"/>
        <v>764</v>
      </c>
    </row>
    <row r="702" spans="1:26" ht="14.1" customHeight="1">
      <c r="A702" s="144">
        <v>708</v>
      </c>
      <c r="B702" s="485" t="s">
        <v>254</v>
      </c>
      <c r="C702" s="303" t="s">
        <v>767</v>
      </c>
      <c r="D702" s="304" t="s">
        <v>98</v>
      </c>
      <c r="E702" s="694" t="s">
        <v>525</v>
      </c>
      <c r="F702" s="303" t="s">
        <v>582</v>
      </c>
      <c r="G702" s="460" t="s">
        <v>189</v>
      </c>
      <c r="H702" s="303" t="s">
        <v>332</v>
      </c>
      <c r="I702" s="582" t="str">
        <f>VLOOKUP(H702,'9a-Typen vloeren'!$A$10:$B$40,2,FALSE)</f>
        <v>Sproei/extraheren</v>
      </c>
      <c r="J702" s="588">
        <v>13.5</v>
      </c>
      <c r="K702" s="433">
        <f t="shared" si="50"/>
        <v>0</v>
      </c>
      <c r="L702" s="433">
        <f t="shared" si="51"/>
        <v>0</v>
      </c>
      <c r="M702" s="433">
        <f t="shared" si="52"/>
        <v>13.5</v>
      </c>
      <c r="N702" s="672"/>
      <c r="O702" s="729">
        <f>IF(N702="",0,N702*K702/'9b-Vloeronderhoud'!$F$4)</f>
        <v>0</v>
      </c>
      <c r="P702" s="672"/>
      <c r="Q702" s="729" t="e">
        <f>IF(O702="",0,P702*L702/'9b-Vloeronderhoud'!$F$6)</f>
        <v>#DIV/0!</v>
      </c>
      <c r="R702" s="449">
        <v>1</v>
      </c>
      <c r="S702" s="672">
        <v>40</v>
      </c>
      <c r="T702" s="161" t="e">
        <f t="shared" si="53"/>
        <v>#DIV/0!</v>
      </c>
      <c r="U702" s="162">
        <f>IF(S702="nio",0,IF(S702&gt;0,VLOOKUP(G702,'3-Productie normen'!A:K,VLOOKUP(S702,'3-Productie normen'!L:N,3,FALSE),FALSE)))</f>
        <v>0</v>
      </c>
      <c r="V702" s="162">
        <f>VLOOKUP(G702,'3-Productie normen'!A:K,10,FALSE)</f>
        <v>1494.1700078582762</v>
      </c>
      <c r="W702" s="163">
        <f>VLOOKUP(G702,'3-Productie normen'!A:K,11,FALSE)</f>
        <v>0</v>
      </c>
      <c r="X702" s="163"/>
      <c r="Z702" s="129">
        <f t="shared" si="54"/>
        <v>540</v>
      </c>
    </row>
    <row r="703" spans="1:26" ht="14.1" customHeight="1">
      <c r="A703" s="144">
        <v>709</v>
      </c>
      <c r="B703" s="491" t="s">
        <v>254</v>
      </c>
      <c r="C703" s="526" t="s">
        <v>767</v>
      </c>
      <c r="D703" s="531" t="s">
        <v>98</v>
      </c>
      <c r="E703" s="713" t="s">
        <v>539</v>
      </c>
      <c r="F703" s="526" t="s">
        <v>556</v>
      </c>
      <c r="G703" s="551" t="s">
        <v>299</v>
      </c>
      <c r="H703" s="303" t="s">
        <v>332</v>
      </c>
      <c r="I703" s="582" t="str">
        <f>VLOOKUP(H703,'9a-Typen vloeren'!$A$10:$B$40,2,FALSE)</f>
        <v>Sproei/extraheren</v>
      </c>
      <c r="J703" s="593">
        <v>37.9</v>
      </c>
      <c r="K703" s="433">
        <f t="shared" si="50"/>
        <v>0</v>
      </c>
      <c r="L703" s="433">
        <f t="shared" si="51"/>
        <v>0</v>
      </c>
      <c r="M703" s="433">
        <f t="shared" si="52"/>
        <v>37.9</v>
      </c>
      <c r="N703" s="672"/>
      <c r="O703" s="729">
        <f>IF(N703="",0,N703*K703/'9b-Vloeronderhoud'!$F$4)</f>
        <v>0</v>
      </c>
      <c r="P703" s="672"/>
      <c r="Q703" s="729" t="e">
        <f>IF(O703="",0,P703*L703/'9b-Vloeronderhoud'!$F$6)</f>
        <v>#DIV/0!</v>
      </c>
      <c r="R703" s="449">
        <v>1</v>
      </c>
      <c r="S703" s="672">
        <v>40</v>
      </c>
      <c r="T703" s="161" t="e">
        <f t="shared" si="53"/>
        <v>#DIV/0!</v>
      </c>
      <c r="U703" s="162">
        <f>IF(S703="nio",0,IF(S703&gt;0,VLOOKUP(G703,'3-Productie normen'!A:K,VLOOKUP(S703,'3-Productie normen'!L:N,3,FALSE),FALSE)))</f>
        <v>0</v>
      </c>
      <c r="V703" s="162">
        <f>VLOOKUP(G703,'3-Productie normen'!A:K,10,FALSE)</f>
        <v>1107.9100014114381</v>
      </c>
      <c r="W703" s="163">
        <f>VLOOKUP(G703,'3-Productie normen'!A:K,11,FALSE)</f>
        <v>0</v>
      </c>
      <c r="X703" s="163"/>
      <c r="Z703" s="129">
        <f t="shared" si="54"/>
        <v>1516</v>
      </c>
    </row>
    <row r="704" spans="1:26" ht="14.1" customHeight="1">
      <c r="A704" s="144">
        <v>710</v>
      </c>
      <c r="B704" s="160" t="s">
        <v>254</v>
      </c>
      <c r="C704" s="303" t="s">
        <v>767</v>
      </c>
      <c r="D704" s="304" t="s">
        <v>98</v>
      </c>
      <c r="E704" s="694" t="s">
        <v>527</v>
      </c>
      <c r="F704" s="303" t="s">
        <v>382</v>
      </c>
      <c r="G704" s="460" t="s">
        <v>881</v>
      </c>
      <c r="H704" s="303" t="s">
        <v>100</v>
      </c>
      <c r="I704" s="582" t="str">
        <f>VLOOKUP(H704,'9a-Typen vloeren'!$A$10:$B$40,2,FALSE)</f>
        <v>Sprayen/ conserveren</v>
      </c>
      <c r="J704" s="433">
        <v>10.6</v>
      </c>
      <c r="K704" s="433">
        <f t="shared" si="50"/>
        <v>0</v>
      </c>
      <c r="L704" s="433">
        <f t="shared" si="51"/>
        <v>0</v>
      </c>
      <c r="M704" s="433">
        <f t="shared" si="52"/>
        <v>0</v>
      </c>
      <c r="N704" s="672"/>
      <c r="O704" s="729">
        <f>IF(N704="",0,N704*K704/'9b-Vloeronderhoud'!$F$4)</f>
        <v>0</v>
      </c>
      <c r="P704" s="672"/>
      <c r="Q704" s="729" t="e">
        <f>IF(O704="",0,P704*L704/'9b-Vloeronderhoud'!$F$6)</f>
        <v>#DIV/0!</v>
      </c>
      <c r="R704" s="449">
        <v>1</v>
      </c>
      <c r="S704" s="672" t="s">
        <v>179</v>
      </c>
      <c r="T704" s="161">
        <f t="shared" si="53"/>
        <v>0</v>
      </c>
      <c r="U704" s="162">
        <f>IF(S704="nio",0,IF(S704&gt;0,VLOOKUP(G704,'3-Productie normen'!A:K,VLOOKUP(S704,'3-Productie normen'!L:N,3,FALSE),FALSE)))</f>
        <v>0</v>
      </c>
      <c r="V704" s="162">
        <f>VLOOKUP(G704,'3-Productie normen'!A:K,10,FALSE)</f>
        <v>5262.809993648526</v>
      </c>
      <c r="W704" s="163">
        <f>VLOOKUP(G704,'3-Productie normen'!A:K,11,FALSE)</f>
        <v>0</v>
      </c>
      <c r="X704" s="163"/>
      <c r="Z704" s="129">
        <f t="shared" si="54"/>
        <v>0</v>
      </c>
    </row>
    <row r="705" spans="1:26" ht="14.1" customHeight="1">
      <c r="A705" s="144">
        <v>711</v>
      </c>
      <c r="B705" s="160" t="s">
        <v>254</v>
      </c>
      <c r="C705" s="303" t="s">
        <v>767</v>
      </c>
      <c r="D705" s="304" t="s">
        <v>98</v>
      </c>
      <c r="E705" s="694" t="s">
        <v>528</v>
      </c>
      <c r="F705" s="303" t="s">
        <v>267</v>
      </c>
      <c r="G705" s="460" t="s">
        <v>18</v>
      </c>
      <c r="H705" s="303" t="s">
        <v>955</v>
      </c>
      <c r="I705" s="582" t="str">
        <f>VLOOKUP(H705,'9a-Typen vloeren'!$A$10:$B$40,2,FALSE)</f>
        <v>zie kwaliteitsontwerp</v>
      </c>
      <c r="J705" s="433">
        <v>0.9</v>
      </c>
      <c r="K705" s="433">
        <f t="shared" si="50"/>
        <v>0</v>
      </c>
      <c r="L705" s="433">
        <f t="shared" si="51"/>
        <v>0</v>
      </c>
      <c r="M705" s="433">
        <f t="shared" si="52"/>
        <v>0</v>
      </c>
      <c r="N705" s="672"/>
      <c r="O705" s="729">
        <f>IF(N705="",0,N705*K705/'9b-Vloeronderhoud'!$F$4)</f>
        <v>0</v>
      </c>
      <c r="P705" s="672"/>
      <c r="Q705" s="729" t="e">
        <f>IF(O705="",0,P705*L705/'9b-Vloeronderhoud'!$F$6)</f>
        <v>#DIV/0!</v>
      </c>
      <c r="R705" s="449">
        <v>1</v>
      </c>
      <c r="S705" s="672">
        <v>190</v>
      </c>
      <c r="T705" s="161" t="e">
        <f t="shared" si="53"/>
        <v>#DIV/0!</v>
      </c>
      <c r="U705" s="162">
        <f>IF(S705="nio",0,IF(S705&gt;0,VLOOKUP(G705,'3-Productie normen'!A:K,VLOOKUP(S705,'3-Productie normen'!L:N,3,FALSE),FALSE)))</f>
        <v>0</v>
      </c>
      <c r="V705" s="162">
        <f>VLOOKUP(G705,'3-Productie normen'!A:K,10,FALSE)</f>
        <v>1859.5880019121171</v>
      </c>
      <c r="W705" s="163">
        <f>VLOOKUP(G705,'3-Productie normen'!A:K,11,FALSE)</f>
        <v>0</v>
      </c>
      <c r="X705" s="163"/>
      <c r="Z705" s="129">
        <f t="shared" si="54"/>
        <v>171</v>
      </c>
    </row>
    <row r="706" spans="1:26" ht="14.1" customHeight="1">
      <c r="A706" s="144">
        <v>712</v>
      </c>
      <c r="B706" s="160" t="s">
        <v>254</v>
      </c>
      <c r="C706" s="303" t="s">
        <v>767</v>
      </c>
      <c r="D706" s="304" t="s">
        <v>98</v>
      </c>
      <c r="E706" s="694" t="s">
        <v>509</v>
      </c>
      <c r="F706" s="303" t="s">
        <v>267</v>
      </c>
      <c r="G706" s="460" t="s">
        <v>18</v>
      </c>
      <c r="H706" s="303" t="s">
        <v>955</v>
      </c>
      <c r="I706" s="582" t="str">
        <f>VLOOKUP(H706,'9a-Typen vloeren'!$A$10:$B$40,2,FALSE)</f>
        <v>zie kwaliteitsontwerp</v>
      </c>
      <c r="J706" s="433">
        <v>0.9</v>
      </c>
      <c r="K706" s="433">
        <f t="shared" si="50"/>
        <v>0</v>
      </c>
      <c r="L706" s="433">
        <f t="shared" si="51"/>
        <v>0</v>
      </c>
      <c r="M706" s="433">
        <f t="shared" si="52"/>
        <v>0</v>
      </c>
      <c r="N706" s="672"/>
      <c r="O706" s="729">
        <f>IF(N706="",0,N706*K706/'9b-Vloeronderhoud'!$F$4)</f>
        <v>0</v>
      </c>
      <c r="P706" s="672"/>
      <c r="Q706" s="729" t="e">
        <f>IF(O706="",0,P706*L706/'9b-Vloeronderhoud'!$F$6)</f>
        <v>#DIV/0!</v>
      </c>
      <c r="R706" s="449">
        <v>1</v>
      </c>
      <c r="S706" s="672">
        <v>190</v>
      </c>
      <c r="T706" s="161" t="e">
        <f t="shared" si="53"/>
        <v>#DIV/0!</v>
      </c>
      <c r="U706" s="162">
        <f>IF(S706="nio",0,IF(S706&gt;0,VLOOKUP(G706,'3-Productie normen'!A:K,VLOOKUP(S706,'3-Productie normen'!L:N,3,FALSE),FALSE)))</f>
        <v>0</v>
      </c>
      <c r="V706" s="162">
        <f>VLOOKUP(G706,'3-Productie normen'!A:K,10,FALSE)</f>
        <v>1859.5880019121171</v>
      </c>
      <c r="W706" s="163">
        <f>VLOOKUP(G706,'3-Productie normen'!A:K,11,FALSE)</f>
        <v>0</v>
      </c>
      <c r="X706" s="163"/>
      <c r="Z706" s="129">
        <f t="shared" si="54"/>
        <v>171</v>
      </c>
    </row>
    <row r="707" spans="1:26" ht="14.1" customHeight="1">
      <c r="A707" s="144">
        <v>713</v>
      </c>
      <c r="B707" s="160" t="s">
        <v>254</v>
      </c>
      <c r="C707" s="303" t="s">
        <v>767</v>
      </c>
      <c r="D707" s="304" t="s">
        <v>98</v>
      </c>
      <c r="E707" s="694" t="s">
        <v>479</v>
      </c>
      <c r="F707" s="303" t="s">
        <v>382</v>
      </c>
      <c r="G707" s="460" t="s">
        <v>881</v>
      </c>
      <c r="H707" s="303" t="s">
        <v>100</v>
      </c>
      <c r="I707" s="582" t="str">
        <f>VLOOKUP(H707,'9a-Typen vloeren'!$A$10:$B$40,2,FALSE)</f>
        <v>Sprayen/ conserveren</v>
      </c>
      <c r="J707" s="433">
        <v>4.0999999999999996</v>
      </c>
      <c r="K707" s="433">
        <f t="shared" si="50"/>
        <v>0</v>
      </c>
      <c r="L707" s="433">
        <f t="shared" si="51"/>
        <v>0</v>
      </c>
      <c r="M707" s="433">
        <f t="shared" si="52"/>
        <v>0</v>
      </c>
      <c r="N707" s="672"/>
      <c r="O707" s="729">
        <f>IF(N707="",0,N707*K707/'9b-Vloeronderhoud'!$F$4)</f>
        <v>0</v>
      </c>
      <c r="P707" s="672"/>
      <c r="Q707" s="729" t="e">
        <f>IF(O707="",0,P707*L707/'9b-Vloeronderhoud'!$F$6)</f>
        <v>#DIV/0!</v>
      </c>
      <c r="R707" s="449">
        <v>1</v>
      </c>
      <c r="S707" s="672" t="s">
        <v>179</v>
      </c>
      <c r="T707" s="161">
        <f t="shared" si="53"/>
        <v>0</v>
      </c>
      <c r="U707" s="162">
        <f>IF(S707="nio",0,IF(S707&gt;0,VLOOKUP(G707,'3-Productie normen'!A:K,VLOOKUP(S707,'3-Productie normen'!L:N,3,FALSE),FALSE)))</f>
        <v>0</v>
      </c>
      <c r="V707" s="162">
        <f>VLOOKUP(G707,'3-Productie normen'!A:K,10,FALSE)</f>
        <v>5262.809993648526</v>
      </c>
      <c r="W707" s="163">
        <f>VLOOKUP(G707,'3-Productie normen'!A:K,11,FALSE)</f>
        <v>0</v>
      </c>
      <c r="X707" s="163"/>
      <c r="Z707" s="129">
        <f t="shared" si="54"/>
        <v>0</v>
      </c>
    </row>
    <row r="708" spans="1:26" ht="14.1" customHeight="1">
      <c r="A708" s="144">
        <v>714</v>
      </c>
      <c r="B708" s="160" t="s">
        <v>254</v>
      </c>
      <c r="C708" s="303" t="s">
        <v>767</v>
      </c>
      <c r="D708" s="304" t="s">
        <v>98</v>
      </c>
      <c r="E708" s="694" t="s">
        <v>482</v>
      </c>
      <c r="F708" s="303" t="s">
        <v>556</v>
      </c>
      <c r="G708" s="122" t="s">
        <v>299</v>
      </c>
      <c r="H708" s="303" t="s">
        <v>100</v>
      </c>
      <c r="I708" s="582" t="str">
        <f>VLOOKUP(H708,'9a-Typen vloeren'!$A$10:$B$40,2,FALSE)</f>
        <v>Sprayen/ conserveren</v>
      </c>
      <c r="J708" s="433">
        <v>28</v>
      </c>
      <c r="K708" s="433">
        <f t="shared" si="50"/>
        <v>28</v>
      </c>
      <c r="L708" s="433">
        <f t="shared" si="51"/>
        <v>0</v>
      </c>
      <c r="M708" s="433">
        <f t="shared" si="52"/>
        <v>0</v>
      </c>
      <c r="N708" s="672"/>
      <c r="O708" s="729">
        <f>IF(N708="",0,N708*K708/'9b-Vloeronderhoud'!$F$4)</f>
        <v>0</v>
      </c>
      <c r="P708" s="672"/>
      <c r="Q708" s="729" t="e">
        <f>IF(O708="",0,P708*L708/'9b-Vloeronderhoud'!$F$6)</f>
        <v>#DIV/0!</v>
      </c>
      <c r="R708" s="449">
        <v>1</v>
      </c>
      <c r="S708" s="672">
        <v>40</v>
      </c>
      <c r="T708" s="161" t="e">
        <f t="shared" si="53"/>
        <v>#DIV/0!</v>
      </c>
      <c r="U708" s="162">
        <f>IF(S708="nio",0,IF(S708&gt;0,VLOOKUP(G708,'3-Productie normen'!A:K,VLOOKUP(S708,'3-Productie normen'!L:N,3,FALSE),FALSE)))</f>
        <v>0</v>
      </c>
      <c r="V708" s="162">
        <f>VLOOKUP(G708,'3-Productie normen'!A:K,10,FALSE)</f>
        <v>1107.9100014114381</v>
      </c>
      <c r="W708" s="163">
        <f>VLOOKUP(G708,'3-Productie normen'!A:K,11,FALSE)</f>
        <v>0</v>
      </c>
      <c r="X708" s="163"/>
      <c r="Z708" s="129">
        <f t="shared" si="54"/>
        <v>1120</v>
      </c>
    </row>
    <row r="709" spans="1:26" ht="14.1" customHeight="1">
      <c r="A709" s="144">
        <v>715</v>
      </c>
      <c r="B709" s="160" t="s">
        <v>254</v>
      </c>
      <c r="C709" s="303" t="s">
        <v>767</v>
      </c>
      <c r="D709" s="304" t="s">
        <v>98</v>
      </c>
      <c r="E709" s="694" t="s">
        <v>540</v>
      </c>
      <c r="F709" s="303" t="s">
        <v>781</v>
      </c>
      <c r="G709" s="460" t="s">
        <v>881</v>
      </c>
      <c r="H709" s="303" t="s">
        <v>101</v>
      </c>
      <c r="I709" s="582" t="str">
        <f>VLOOKUP(H709,'9a-Typen vloeren'!$A$10:$B$40,2,FALSE)</f>
        <v>Schrobben</v>
      </c>
      <c r="J709" s="433">
        <v>27.2</v>
      </c>
      <c r="K709" s="433">
        <f t="shared" ref="K709:K772" si="55">IF(G709="niet in onderhoud",0,IF(I709="sprayen/ conserveren",J709,0))</f>
        <v>0</v>
      </c>
      <c r="L709" s="433">
        <f t="shared" ref="L709:L772" si="56">IF(G709="niet in onderhoud",0,IF(I709="schrobben",J709,0))</f>
        <v>0</v>
      </c>
      <c r="M709" s="433">
        <f t="shared" ref="M709:M772" si="57">IF(G709="niet in onderhoud",0,IF(I709="Sproei/extraheren",J709,0))</f>
        <v>0</v>
      </c>
      <c r="N709" s="672"/>
      <c r="O709" s="729">
        <f>IF(N709="",0,N709*K709/'9b-Vloeronderhoud'!$F$4)</f>
        <v>0</v>
      </c>
      <c r="P709" s="672"/>
      <c r="Q709" s="729" t="e">
        <f>IF(O709="",0,P709*L709/'9b-Vloeronderhoud'!$F$6)</f>
        <v>#DIV/0!</v>
      </c>
      <c r="R709" s="449">
        <v>1</v>
      </c>
      <c r="S709" s="672" t="s">
        <v>179</v>
      </c>
      <c r="T709" s="161">
        <f t="shared" si="53"/>
        <v>0</v>
      </c>
      <c r="U709" s="162">
        <f>IF(S709="nio",0,IF(S709&gt;0,VLOOKUP(G709,'3-Productie normen'!A:K,VLOOKUP(S709,'3-Productie normen'!L:N,3,FALSE),FALSE)))</f>
        <v>0</v>
      </c>
      <c r="V709" s="162">
        <f>VLOOKUP(G709,'3-Productie normen'!A:K,10,FALSE)</f>
        <v>5262.809993648526</v>
      </c>
      <c r="W709" s="163">
        <f>VLOOKUP(G709,'3-Productie normen'!A:K,11,FALSE)</f>
        <v>0</v>
      </c>
      <c r="X709" s="163"/>
      <c r="Z709" s="129">
        <f t="shared" si="54"/>
        <v>0</v>
      </c>
    </row>
    <row r="710" spans="1:26" ht="14.1" customHeight="1">
      <c r="A710" s="144">
        <v>716</v>
      </c>
      <c r="B710" s="160" t="s">
        <v>254</v>
      </c>
      <c r="C710" s="303" t="s">
        <v>767</v>
      </c>
      <c r="D710" s="304" t="s">
        <v>98</v>
      </c>
      <c r="E710" s="694" t="s">
        <v>541</v>
      </c>
      <c r="F710" s="303" t="s">
        <v>316</v>
      </c>
      <c r="G710" s="460" t="s">
        <v>881</v>
      </c>
      <c r="H710" s="303" t="s">
        <v>100</v>
      </c>
      <c r="I710" s="582" t="str">
        <f>VLOOKUP(H710,'9a-Typen vloeren'!$A$10:$B$40,2,FALSE)</f>
        <v>Sprayen/ conserveren</v>
      </c>
      <c r="J710" s="433">
        <v>1.7</v>
      </c>
      <c r="K710" s="433">
        <f t="shared" si="55"/>
        <v>0</v>
      </c>
      <c r="L710" s="433">
        <f t="shared" si="56"/>
        <v>0</v>
      </c>
      <c r="M710" s="433">
        <f t="shared" si="57"/>
        <v>0</v>
      </c>
      <c r="N710" s="672"/>
      <c r="O710" s="729">
        <f>IF(N710="",0,N710*K710/'9b-Vloeronderhoud'!$F$4)</f>
        <v>0</v>
      </c>
      <c r="P710" s="672"/>
      <c r="Q710" s="729" t="e">
        <f>IF(O710="",0,P710*L710/'9b-Vloeronderhoud'!$F$6)</f>
        <v>#DIV/0!</v>
      </c>
      <c r="R710" s="449">
        <v>1</v>
      </c>
      <c r="S710" s="672" t="s">
        <v>179</v>
      </c>
      <c r="T710" s="161">
        <f t="shared" si="53"/>
        <v>0</v>
      </c>
      <c r="U710" s="162">
        <f>IF(S710="nio",0,IF(S710&gt;0,VLOOKUP(G710,'3-Productie normen'!A:K,VLOOKUP(S710,'3-Productie normen'!L:N,3,FALSE),FALSE)))</f>
        <v>0</v>
      </c>
      <c r="V710" s="162">
        <f>VLOOKUP(G710,'3-Productie normen'!A:K,10,FALSE)</f>
        <v>5262.809993648526</v>
      </c>
      <c r="W710" s="163">
        <f>VLOOKUP(G710,'3-Productie normen'!A:K,11,FALSE)</f>
        <v>0</v>
      </c>
      <c r="X710" s="163"/>
      <c r="Z710" s="129">
        <f t="shared" si="54"/>
        <v>0</v>
      </c>
    </row>
    <row r="711" spans="1:26" ht="14.1" customHeight="1">
      <c r="A711" s="144">
        <v>717</v>
      </c>
      <c r="B711" s="160" t="s">
        <v>251</v>
      </c>
      <c r="C711" s="303" t="s">
        <v>743</v>
      </c>
      <c r="D711" s="304" t="s">
        <v>98</v>
      </c>
      <c r="E711" s="694" t="s">
        <v>294</v>
      </c>
      <c r="F711" s="303" t="s">
        <v>99</v>
      </c>
      <c r="G711" s="303" t="s">
        <v>99</v>
      </c>
      <c r="H711" s="303" t="s">
        <v>332</v>
      </c>
      <c r="I711" s="582" t="str">
        <f>VLOOKUP(H711,'9a-Typen vloeren'!$A$10:$B$40,2,FALSE)</f>
        <v>Sproei/extraheren</v>
      </c>
      <c r="J711" s="433">
        <v>7.5</v>
      </c>
      <c r="K711" s="433">
        <f t="shared" si="55"/>
        <v>0</v>
      </c>
      <c r="L711" s="433">
        <f t="shared" si="56"/>
        <v>0</v>
      </c>
      <c r="M711" s="433">
        <f t="shared" si="57"/>
        <v>7.5</v>
      </c>
      <c r="N711" s="672"/>
      <c r="O711" s="729">
        <f>IF(N711="",0,N711*K711/'9b-Vloeronderhoud'!$F$4)</f>
        <v>0</v>
      </c>
      <c r="P711" s="672"/>
      <c r="Q711" s="729" t="e">
        <f>IF(O711="",0,P711*L711/'9b-Vloeronderhoud'!$F$6)</f>
        <v>#DIV/0!</v>
      </c>
      <c r="R711" s="449">
        <v>1</v>
      </c>
      <c r="S711" s="672">
        <v>190</v>
      </c>
      <c r="T711" s="161" t="e">
        <f t="shared" si="53"/>
        <v>#DIV/0!</v>
      </c>
      <c r="U711" s="162">
        <f>IF(S711="nio",0,IF(S711&gt;0,VLOOKUP(G711,'3-Productie normen'!A:K,VLOOKUP(S711,'3-Productie normen'!L:N,3,FALSE),FALSE)))</f>
        <v>0</v>
      </c>
      <c r="V711" s="162">
        <f>VLOOKUP(G711,'3-Productie normen'!A:K,10,FALSE)</f>
        <v>726.97999910354622</v>
      </c>
      <c r="W711" s="163">
        <f>VLOOKUP(G711,'3-Productie normen'!A:K,11,FALSE)</f>
        <v>0</v>
      </c>
      <c r="X711" s="163"/>
      <c r="Z711" s="129">
        <f t="shared" si="54"/>
        <v>1425</v>
      </c>
    </row>
    <row r="712" spans="1:26" ht="14.1" customHeight="1">
      <c r="A712" s="144">
        <v>718</v>
      </c>
      <c r="B712" s="160" t="s">
        <v>251</v>
      </c>
      <c r="C712" s="303" t="s">
        <v>743</v>
      </c>
      <c r="D712" s="304" t="s">
        <v>98</v>
      </c>
      <c r="E712" s="694" t="s">
        <v>295</v>
      </c>
      <c r="F712" s="303" t="s">
        <v>283</v>
      </c>
      <c r="G712" s="303" t="s">
        <v>286</v>
      </c>
      <c r="H712" s="303" t="s">
        <v>100</v>
      </c>
      <c r="I712" s="582" t="str">
        <f>VLOOKUP(H712,'9a-Typen vloeren'!$A$10:$B$40,2,FALSE)</f>
        <v>Sprayen/ conserveren</v>
      </c>
      <c r="J712" s="433">
        <v>57.400001525878906</v>
      </c>
      <c r="K712" s="433">
        <f t="shared" si="55"/>
        <v>57.400001525878906</v>
      </c>
      <c r="L712" s="433">
        <f t="shared" si="56"/>
        <v>0</v>
      </c>
      <c r="M712" s="433">
        <f t="shared" si="57"/>
        <v>0</v>
      </c>
      <c r="N712" s="672">
        <v>2</v>
      </c>
      <c r="O712" s="729" t="e">
        <f>IF(N712="",0,N712*K712/'9b-Vloeronderhoud'!$F$4)</f>
        <v>#DIV/0!</v>
      </c>
      <c r="P712" s="672"/>
      <c r="Q712" s="729" t="e">
        <f>IF(O712="",0,P712*L712/'9b-Vloeronderhoud'!$F$6)</f>
        <v>#DIV/0!</v>
      </c>
      <c r="R712" s="449">
        <v>1</v>
      </c>
      <c r="S712" s="672">
        <v>120</v>
      </c>
      <c r="T712" s="161" t="e">
        <f t="shared" si="53"/>
        <v>#DIV/0!</v>
      </c>
      <c r="U712" s="162">
        <f>IF(S712="nio",0,IF(S712&gt;0,VLOOKUP(G712,'3-Productie normen'!A:K,VLOOKUP(S712,'3-Productie normen'!L:N,3,FALSE),FALSE)))</f>
        <v>0</v>
      </c>
      <c r="V712" s="162">
        <f>VLOOKUP(G712,'3-Productie normen'!A:K,10,FALSE)</f>
        <v>6152.9500017547598</v>
      </c>
      <c r="W712" s="163">
        <f>VLOOKUP(G712,'3-Productie normen'!A:K,11,FALSE)</f>
        <v>0</v>
      </c>
      <c r="X712" s="163"/>
      <c r="Z712" s="129">
        <f t="shared" si="54"/>
        <v>6888.0001831054688</v>
      </c>
    </row>
    <row r="713" spans="1:26" ht="14.1" customHeight="1">
      <c r="A713" s="144">
        <v>719</v>
      </c>
      <c r="B713" s="160" t="s">
        <v>251</v>
      </c>
      <c r="C713" s="303" t="s">
        <v>743</v>
      </c>
      <c r="D713" s="304" t="s">
        <v>98</v>
      </c>
      <c r="E713" s="694" t="s">
        <v>296</v>
      </c>
      <c r="F713" s="303" t="s">
        <v>288</v>
      </c>
      <c r="G713" s="4" t="s">
        <v>862</v>
      </c>
      <c r="H713" s="303" t="s">
        <v>100</v>
      </c>
      <c r="I713" s="582" t="str">
        <f>VLOOKUP(H713,'9a-Typen vloeren'!$A$10:$B$40,2,FALSE)</f>
        <v>Sprayen/ conserveren</v>
      </c>
      <c r="J713" s="433">
        <v>98.099998474121094</v>
      </c>
      <c r="K713" s="433">
        <f t="shared" si="55"/>
        <v>98.099998474121094</v>
      </c>
      <c r="L713" s="433">
        <f t="shared" si="56"/>
        <v>0</v>
      </c>
      <c r="M713" s="433">
        <f t="shared" si="57"/>
        <v>0</v>
      </c>
      <c r="N713" s="672">
        <v>2</v>
      </c>
      <c r="O713" s="729" t="e">
        <f>IF(N713="",0,N713*K713/'9b-Vloeronderhoud'!$F$4)</f>
        <v>#DIV/0!</v>
      </c>
      <c r="P713" s="672"/>
      <c r="Q713" s="729" t="e">
        <f>IF(O713="",0,P713*L713/'9b-Vloeronderhoud'!$F$6)</f>
        <v>#DIV/0!</v>
      </c>
      <c r="R713" s="449">
        <v>1</v>
      </c>
      <c r="S713" s="672">
        <v>120</v>
      </c>
      <c r="T713" s="161" t="e">
        <f t="shared" si="53"/>
        <v>#DIV/0!</v>
      </c>
      <c r="U713" s="162">
        <f>IF(S713="nio",0,IF(S713&gt;0,VLOOKUP(G713,'3-Productie normen'!A:K,VLOOKUP(S713,'3-Productie normen'!L:N,3,FALSE),FALSE)))</f>
        <v>0</v>
      </c>
      <c r="V713" s="162">
        <f>VLOOKUP(G713,'3-Productie normen'!A:K,10,FALSE)</f>
        <v>4374.9900215911857</v>
      </c>
      <c r="W713" s="163">
        <f>VLOOKUP(G713,'3-Productie normen'!A:K,11,FALSE)</f>
        <v>0</v>
      </c>
      <c r="X713" s="163"/>
      <c r="Z713" s="129">
        <f t="shared" si="54"/>
        <v>11771.999816894531</v>
      </c>
    </row>
    <row r="714" spans="1:26" ht="14.1" customHeight="1">
      <c r="A714" s="144">
        <v>720</v>
      </c>
      <c r="B714" s="160" t="s">
        <v>251</v>
      </c>
      <c r="C714" s="303" t="s">
        <v>743</v>
      </c>
      <c r="D714" s="304" t="s">
        <v>98</v>
      </c>
      <c r="E714" s="694" t="s">
        <v>298</v>
      </c>
      <c r="F714" s="303" t="s">
        <v>302</v>
      </c>
      <c r="G714" s="460" t="s">
        <v>18</v>
      </c>
      <c r="H714" s="534" t="s">
        <v>954</v>
      </c>
      <c r="I714" s="582" t="str">
        <f>VLOOKUP(H714,'9a-Typen vloeren'!$A$10:$B$40,2,FALSE)</f>
        <v>zie kwaliteitsontwerp</v>
      </c>
      <c r="J714" s="433">
        <v>5.8000001907348633</v>
      </c>
      <c r="K714" s="433">
        <f t="shared" si="55"/>
        <v>0</v>
      </c>
      <c r="L714" s="433">
        <f t="shared" si="56"/>
        <v>0</v>
      </c>
      <c r="M714" s="433">
        <f t="shared" si="57"/>
        <v>0</v>
      </c>
      <c r="N714" s="672"/>
      <c r="O714" s="729">
        <f>IF(N714="",0,N714*K714/'9b-Vloeronderhoud'!$F$4)</f>
        <v>0</v>
      </c>
      <c r="P714" s="672"/>
      <c r="Q714" s="729" t="e">
        <f>IF(O714="",0,P714*L714/'9b-Vloeronderhoud'!$F$6)</f>
        <v>#DIV/0!</v>
      </c>
      <c r="R714" s="449">
        <v>1</v>
      </c>
      <c r="S714" s="672">
        <v>190</v>
      </c>
      <c r="T714" s="161" t="e">
        <f t="shared" ref="T714:T777" si="58">IF(S714="nio",0,IF(S714&gt;0,S714*J714/U714,0))*R714</f>
        <v>#DIV/0!</v>
      </c>
      <c r="U714" s="162">
        <f>IF(S714="nio",0,IF(S714&gt;0,VLOOKUP(G714,'3-Productie normen'!A:K,VLOOKUP(S714,'3-Productie normen'!L:N,3,FALSE),FALSE)))</f>
        <v>0</v>
      </c>
      <c r="V714" s="162">
        <f>VLOOKUP(G714,'3-Productie normen'!A:K,10,FALSE)</f>
        <v>1859.5880019121171</v>
      </c>
      <c r="W714" s="163">
        <f>VLOOKUP(G714,'3-Productie normen'!A:K,11,FALSE)</f>
        <v>0</v>
      </c>
      <c r="X714" s="163"/>
      <c r="Z714" s="129">
        <f t="shared" ref="Z714:Z777" si="59">SUM(S714:S714)*J714</f>
        <v>1102.000036239624</v>
      </c>
    </row>
    <row r="715" spans="1:26" ht="14.1" customHeight="1">
      <c r="A715" s="144">
        <v>721</v>
      </c>
      <c r="B715" s="160" t="s">
        <v>251</v>
      </c>
      <c r="C715" s="303" t="s">
        <v>743</v>
      </c>
      <c r="D715" s="304" t="s">
        <v>98</v>
      </c>
      <c r="E715" s="694" t="s">
        <v>301</v>
      </c>
      <c r="F715" s="126" t="s">
        <v>221</v>
      </c>
      <c r="G715" s="4" t="s">
        <v>221</v>
      </c>
      <c r="H715" s="303" t="s">
        <v>332</v>
      </c>
      <c r="I715" s="582" t="str">
        <f>VLOOKUP(H715,'9a-Typen vloeren'!$A$10:$B$40,2,FALSE)</f>
        <v>Sproei/extraheren</v>
      </c>
      <c r="J715" s="433">
        <v>80</v>
      </c>
      <c r="K715" s="433">
        <f t="shared" si="55"/>
        <v>0</v>
      </c>
      <c r="L715" s="433">
        <f t="shared" si="56"/>
        <v>0</v>
      </c>
      <c r="M715" s="433">
        <f t="shared" si="57"/>
        <v>80</v>
      </c>
      <c r="N715" s="672"/>
      <c r="O715" s="729">
        <f>IF(N715="",0,N715*K715/'9b-Vloeronderhoud'!$F$4)</f>
        <v>0</v>
      </c>
      <c r="P715" s="672"/>
      <c r="Q715" s="729" t="e">
        <f>IF(O715="",0,P715*L715/'9b-Vloeronderhoud'!$F$6)</f>
        <v>#DIV/0!</v>
      </c>
      <c r="R715" s="449">
        <v>1</v>
      </c>
      <c r="S715" s="672">
        <v>80</v>
      </c>
      <c r="T715" s="161" t="e">
        <f t="shared" si="58"/>
        <v>#DIV/0!</v>
      </c>
      <c r="U715" s="162">
        <f>IF(S715="nio",0,IF(S715&gt;0,VLOOKUP(G715,'3-Productie normen'!A:K,VLOOKUP(S715,'3-Productie normen'!L:N,3,FALSE),FALSE)))</f>
        <v>0</v>
      </c>
      <c r="V715" s="162">
        <f>VLOOKUP(G715,'3-Productie normen'!A:K,10,FALSE)</f>
        <v>16013.110036668773</v>
      </c>
      <c r="W715" s="163">
        <f>VLOOKUP(G715,'3-Productie normen'!A:K,11,FALSE)</f>
        <v>0</v>
      </c>
      <c r="X715" s="163"/>
      <c r="Z715" s="129">
        <f t="shared" si="59"/>
        <v>6400</v>
      </c>
    </row>
    <row r="716" spans="1:26" ht="14.1" customHeight="1">
      <c r="A716" s="144">
        <v>722</v>
      </c>
      <c r="B716" s="160" t="s">
        <v>251</v>
      </c>
      <c r="C716" s="303" t="s">
        <v>743</v>
      </c>
      <c r="D716" s="304" t="s">
        <v>98</v>
      </c>
      <c r="E716" s="694" t="s">
        <v>303</v>
      </c>
      <c r="F716" s="303" t="s">
        <v>221</v>
      </c>
      <c r="G716" s="460" t="s">
        <v>221</v>
      </c>
      <c r="H716" s="303" t="s">
        <v>332</v>
      </c>
      <c r="I716" s="582" t="str">
        <f>VLOOKUP(H716,'9a-Typen vloeren'!$A$10:$B$40,2,FALSE)</f>
        <v>Sproei/extraheren</v>
      </c>
      <c r="J716" s="433">
        <v>80</v>
      </c>
      <c r="K716" s="433">
        <f t="shared" si="55"/>
        <v>0</v>
      </c>
      <c r="L716" s="433">
        <f t="shared" si="56"/>
        <v>0</v>
      </c>
      <c r="M716" s="433">
        <f t="shared" si="57"/>
        <v>80</v>
      </c>
      <c r="N716" s="672"/>
      <c r="O716" s="729">
        <f>IF(N716="",0,N716*K716/'9b-Vloeronderhoud'!$F$4)</f>
        <v>0</v>
      </c>
      <c r="P716" s="672"/>
      <c r="Q716" s="729" t="e">
        <f>IF(O716="",0,P716*L716/'9b-Vloeronderhoud'!$F$6)</f>
        <v>#DIV/0!</v>
      </c>
      <c r="R716" s="449">
        <v>1</v>
      </c>
      <c r="S716" s="672">
        <v>80</v>
      </c>
      <c r="T716" s="161" t="e">
        <f t="shared" si="58"/>
        <v>#DIV/0!</v>
      </c>
      <c r="U716" s="162">
        <f>IF(S716="nio",0,IF(S716&gt;0,VLOOKUP(G716,'3-Productie normen'!A:K,VLOOKUP(S716,'3-Productie normen'!L:N,3,FALSE),FALSE)))</f>
        <v>0</v>
      </c>
      <c r="V716" s="162">
        <f>VLOOKUP(G716,'3-Productie normen'!A:K,10,FALSE)</f>
        <v>16013.110036668773</v>
      </c>
      <c r="W716" s="163">
        <f>VLOOKUP(G716,'3-Productie normen'!A:K,11,FALSE)</f>
        <v>0</v>
      </c>
      <c r="X716" s="163"/>
      <c r="Z716" s="129">
        <f t="shared" si="59"/>
        <v>6400</v>
      </c>
    </row>
    <row r="717" spans="1:26" ht="14.1" customHeight="1">
      <c r="A717" s="144">
        <v>723</v>
      </c>
      <c r="B717" s="160" t="s">
        <v>251</v>
      </c>
      <c r="C717" s="303" t="s">
        <v>743</v>
      </c>
      <c r="D717" s="304" t="s">
        <v>98</v>
      </c>
      <c r="E717" s="694" t="s">
        <v>305</v>
      </c>
      <c r="F717" s="303" t="s">
        <v>281</v>
      </c>
      <c r="G717" s="460" t="s">
        <v>881</v>
      </c>
      <c r="H717" s="303" t="s">
        <v>101</v>
      </c>
      <c r="I717" s="582" t="str">
        <f>VLOOKUP(H717,'9a-Typen vloeren'!$A$10:$B$40,2,FALSE)</f>
        <v>Schrobben</v>
      </c>
      <c r="J717" s="433">
        <v>3.0499999523162842</v>
      </c>
      <c r="K717" s="433">
        <f t="shared" si="55"/>
        <v>0</v>
      </c>
      <c r="L717" s="433">
        <f t="shared" si="56"/>
        <v>0</v>
      </c>
      <c r="M717" s="433">
        <f t="shared" si="57"/>
        <v>0</v>
      </c>
      <c r="N717" s="672"/>
      <c r="O717" s="729">
        <f>IF(N717="",0,N717*K717/'9b-Vloeronderhoud'!$F$4)</f>
        <v>0</v>
      </c>
      <c r="P717" s="672"/>
      <c r="Q717" s="729" t="e">
        <f>IF(O717="",0,P717*L717/'9b-Vloeronderhoud'!$F$6)</f>
        <v>#DIV/0!</v>
      </c>
      <c r="R717" s="449">
        <v>1</v>
      </c>
      <c r="S717" s="672" t="s">
        <v>179</v>
      </c>
      <c r="T717" s="161">
        <f t="shared" si="58"/>
        <v>0</v>
      </c>
      <c r="U717" s="162">
        <f>IF(S717="nio",0,IF(S717&gt;0,VLOOKUP(G717,'3-Productie normen'!A:K,VLOOKUP(S717,'3-Productie normen'!L:N,3,FALSE),FALSE)))</f>
        <v>0</v>
      </c>
      <c r="V717" s="162">
        <f>VLOOKUP(G717,'3-Productie normen'!A:K,10,FALSE)</f>
        <v>5262.809993648526</v>
      </c>
      <c r="W717" s="163">
        <f>VLOOKUP(G717,'3-Productie normen'!A:K,11,FALSE)</f>
        <v>0</v>
      </c>
      <c r="X717" s="163"/>
      <c r="Z717" s="129">
        <f t="shared" si="59"/>
        <v>0</v>
      </c>
    </row>
    <row r="718" spans="1:26" ht="14.1" customHeight="1">
      <c r="A718" s="144">
        <v>724</v>
      </c>
      <c r="B718" s="160" t="s">
        <v>251</v>
      </c>
      <c r="C718" s="303" t="s">
        <v>743</v>
      </c>
      <c r="D718" s="304" t="s">
        <v>98</v>
      </c>
      <c r="E718" s="694" t="s">
        <v>306</v>
      </c>
      <c r="F718" s="303" t="s">
        <v>744</v>
      </c>
      <c r="G718" s="460" t="s">
        <v>881</v>
      </c>
      <c r="H718" s="303" t="s">
        <v>100</v>
      </c>
      <c r="I718" s="582" t="str">
        <f>VLOOKUP(H718,'9a-Typen vloeren'!$A$10:$B$40,2,FALSE)</f>
        <v>Sprayen/ conserveren</v>
      </c>
      <c r="J718" s="433">
        <v>37.700000762939453</v>
      </c>
      <c r="K718" s="433">
        <f t="shared" si="55"/>
        <v>0</v>
      </c>
      <c r="L718" s="433">
        <f t="shared" si="56"/>
        <v>0</v>
      </c>
      <c r="M718" s="433">
        <f t="shared" si="57"/>
        <v>0</v>
      </c>
      <c r="N718" s="672">
        <v>2</v>
      </c>
      <c r="O718" s="729" t="e">
        <f>IF(N718="",0,N718*K718/'9b-Vloeronderhoud'!$F$4)</f>
        <v>#DIV/0!</v>
      </c>
      <c r="P718" s="672"/>
      <c r="Q718" s="729" t="e">
        <f>IF(O718="",0,P718*L718/'9b-Vloeronderhoud'!$F$6)</f>
        <v>#DIV/0!</v>
      </c>
      <c r="R718" s="449">
        <v>1</v>
      </c>
      <c r="S718" s="672" t="s">
        <v>179</v>
      </c>
      <c r="T718" s="161">
        <f t="shared" si="58"/>
        <v>0</v>
      </c>
      <c r="U718" s="162">
        <f>IF(S718="nio",0,IF(S718&gt;0,VLOOKUP(G718,'3-Productie normen'!A:K,VLOOKUP(S718,'3-Productie normen'!L:N,3,FALSE),FALSE)))</f>
        <v>0</v>
      </c>
      <c r="V718" s="162">
        <f>VLOOKUP(G718,'3-Productie normen'!A:K,10,FALSE)</f>
        <v>5262.809993648526</v>
      </c>
      <c r="W718" s="163">
        <f>VLOOKUP(G718,'3-Productie normen'!A:K,11,FALSE)</f>
        <v>0</v>
      </c>
      <c r="X718" s="163"/>
      <c r="Z718" s="129">
        <f t="shared" si="59"/>
        <v>0</v>
      </c>
    </row>
    <row r="719" spans="1:26" ht="14.1" customHeight="1">
      <c r="A719" s="144">
        <v>725</v>
      </c>
      <c r="B719" s="160" t="s">
        <v>251</v>
      </c>
      <c r="C719" s="303" t="s">
        <v>743</v>
      </c>
      <c r="D719" s="304" t="s">
        <v>98</v>
      </c>
      <c r="E719" s="694" t="s">
        <v>307</v>
      </c>
      <c r="F719" s="303" t="s">
        <v>302</v>
      </c>
      <c r="G719" s="460" t="s">
        <v>18</v>
      </c>
      <c r="H719" s="534" t="s">
        <v>954</v>
      </c>
      <c r="I719" s="582" t="str">
        <f>VLOOKUP(H719,'9a-Typen vloeren'!$A$10:$B$40,2,FALSE)</f>
        <v>zie kwaliteitsontwerp</v>
      </c>
      <c r="J719" s="433">
        <v>5.9000000953674316</v>
      </c>
      <c r="K719" s="433">
        <f t="shared" si="55"/>
        <v>0</v>
      </c>
      <c r="L719" s="433">
        <f t="shared" si="56"/>
        <v>0</v>
      </c>
      <c r="M719" s="433">
        <f t="shared" si="57"/>
        <v>0</v>
      </c>
      <c r="N719" s="672"/>
      <c r="O719" s="729">
        <f>IF(N719="",0,N719*K719/'9b-Vloeronderhoud'!$F$4)</f>
        <v>0</v>
      </c>
      <c r="P719" s="672"/>
      <c r="Q719" s="729" t="e">
        <f>IF(O719="",0,P719*L719/'9b-Vloeronderhoud'!$F$6)</f>
        <v>#DIV/0!</v>
      </c>
      <c r="R719" s="449">
        <v>1</v>
      </c>
      <c r="S719" s="672">
        <v>190</v>
      </c>
      <c r="T719" s="161" t="e">
        <f t="shared" si="58"/>
        <v>#DIV/0!</v>
      </c>
      <c r="U719" s="162">
        <f>IF(S719="nio",0,IF(S719&gt;0,VLOOKUP(G719,'3-Productie normen'!A:K,VLOOKUP(S719,'3-Productie normen'!L:N,3,FALSE),FALSE)))</f>
        <v>0</v>
      </c>
      <c r="V719" s="162">
        <f>VLOOKUP(G719,'3-Productie normen'!A:K,10,FALSE)</f>
        <v>1859.5880019121171</v>
      </c>
      <c r="W719" s="163">
        <f>VLOOKUP(G719,'3-Productie normen'!A:K,11,FALSE)</f>
        <v>0</v>
      </c>
      <c r="X719" s="163"/>
      <c r="Z719" s="129">
        <f t="shared" si="59"/>
        <v>1121.000018119812</v>
      </c>
    </row>
    <row r="720" spans="1:26" ht="14.1" customHeight="1">
      <c r="A720" s="144">
        <v>726</v>
      </c>
      <c r="B720" s="160" t="s">
        <v>251</v>
      </c>
      <c r="C720" s="303" t="s">
        <v>743</v>
      </c>
      <c r="D720" s="304" t="s">
        <v>98</v>
      </c>
      <c r="E720" s="694" t="s">
        <v>309</v>
      </c>
      <c r="F720" s="303" t="s">
        <v>380</v>
      </c>
      <c r="G720" s="533" t="s">
        <v>862</v>
      </c>
      <c r="H720" s="303" t="s">
        <v>332</v>
      </c>
      <c r="I720" s="582" t="str">
        <f>VLOOKUP(H720,'9a-Typen vloeren'!$A$10:$B$40,2,FALSE)</f>
        <v>Sproei/extraheren</v>
      </c>
      <c r="J720" s="433">
        <v>36</v>
      </c>
      <c r="K720" s="433">
        <f t="shared" si="55"/>
        <v>0</v>
      </c>
      <c r="L720" s="433">
        <f t="shared" si="56"/>
        <v>0</v>
      </c>
      <c r="M720" s="433">
        <f t="shared" si="57"/>
        <v>36</v>
      </c>
      <c r="N720" s="672"/>
      <c r="O720" s="729">
        <f>IF(N720="",0,N720*K720/'9b-Vloeronderhoud'!$F$4)</f>
        <v>0</v>
      </c>
      <c r="P720" s="672"/>
      <c r="Q720" s="729" t="e">
        <f>IF(O720="",0,P720*L720/'9b-Vloeronderhoud'!$F$6)</f>
        <v>#DIV/0!</v>
      </c>
      <c r="R720" s="449">
        <v>1</v>
      </c>
      <c r="S720" s="672">
        <v>120</v>
      </c>
      <c r="T720" s="161" t="e">
        <f t="shared" si="58"/>
        <v>#DIV/0!</v>
      </c>
      <c r="U720" s="162">
        <f>IF(S720="nio",0,IF(S720&gt;0,VLOOKUP(G720,'3-Productie normen'!A:K,VLOOKUP(S720,'3-Productie normen'!L:N,3,FALSE),FALSE)))</f>
        <v>0</v>
      </c>
      <c r="V720" s="162">
        <f>VLOOKUP(G720,'3-Productie normen'!A:K,10,FALSE)</f>
        <v>4374.9900215911857</v>
      </c>
      <c r="W720" s="163">
        <f>VLOOKUP(G720,'3-Productie normen'!A:K,11,FALSE)</f>
        <v>0</v>
      </c>
      <c r="X720" s="163"/>
      <c r="Z720" s="129">
        <f t="shared" si="59"/>
        <v>4320</v>
      </c>
    </row>
    <row r="721" spans="1:26" ht="14.1" customHeight="1">
      <c r="A721" s="144">
        <v>727</v>
      </c>
      <c r="B721" s="160" t="s">
        <v>251</v>
      </c>
      <c r="C721" s="303" t="s">
        <v>743</v>
      </c>
      <c r="D721" s="304" t="s">
        <v>98</v>
      </c>
      <c r="E721" s="694" t="s">
        <v>310</v>
      </c>
      <c r="F721" s="303" t="s">
        <v>341</v>
      </c>
      <c r="G721" s="122" t="s">
        <v>190</v>
      </c>
      <c r="H721" s="303" t="s">
        <v>100</v>
      </c>
      <c r="I721" s="582" t="str">
        <f>VLOOKUP(H721,'9a-Typen vloeren'!$A$10:$B$40,2,FALSE)</f>
        <v>Sprayen/ conserveren</v>
      </c>
      <c r="J721" s="433">
        <v>6</v>
      </c>
      <c r="K721" s="433">
        <f t="shared" si="55"/>
        <v>6</v>
      </c>
      <c r="L721" s="433">
        <f t="shared" si="56"/>
        <v>0</v>
      </c>
      <c r="M721" s="433">
        <f t="shared" si="57"/>
        <v>0</v>
      </c>
      <c r="N721" s="672">
        <v>2</v>
      </c>
      <c r="O721" s="729" t="e">
        <f>IF(N721="",0,N721*K721/'9b-Vloeronderhoud'!$F$4)</f>
        <v>#DIV/0!</v>
      </c>
      <c r="P721" s="672"/>
      <c r="Q721" s="729" t="e">
        <f>IF(O721="",0,P721*L721/'9b-Vloeronderhoud'!$F$6)</f>
        <v>#DIV/0!</v>
      </c>
      <c r="R721" s="449">
        <v>1</v>
      </c>
      <c r="S721" s="672">
        <v>40</v>
      </c>
      <c r="T721" s="161" t="e">
        <f t="shared" si="58"/>
        <v>#DIV/0!</v>
      </c>
      <c r="U721" s="162">
        <f>IF(S721="nio",0,IF(S721&gt;0,VLOOKUP(G721,'3-Productie normen'!A:K,VLOOKUP(S721,'3-Productie normen'!L:N,3,FALSE),FALSE)))</f>
        <v>0</v>
      </c>
      <c r="V721" s="162">
        <f>VLOOKUP(G721,'3-Productie normen'!A:K,10,FALSE)</f>
        <v>281.65000052452086</v>
      </c>
      <c r="W721" s="163">
        <f>VLOOKUP(G721,'3-Productie normen'!A:K,11,FALSE)</f>
        <v>0</v>
      </c>
      <c r="X721" s="163"/>
      <c r="Z721" s="129">
        <f t="shared" si="59"/>
        <v>240</v>
      </c>
    </row>
    <row r="722" spans="1:26" ht="14.1" customHeight="1">
      <c r="A722" s="144">
        <v>728</v>
      </c>
      <c r="B722" s="160" t="s">
        <v>251</v>
      </c>
      <c r="C722" s="303" t="s">
        <v>743</v>
      </c>
      <c r="D722" s="304" t="s">
        <v>98</v>
      </c>
      <c r="E722" s="694" t="s">
        <v>311</v>
      </c>
      <c r="F722" s="303" t="s">
        <v>284</v>
      </c>
      <c r="G722" s="546" t="s">
        <v>99</v>
      </c>
      <c r="H722" s="303" t="s">
        <v>332</v>
      </c>
      <c r="I722" s="582" t="str">
        <f>VLOOKUP(H722,'9a-Typen vloeren'!$A$10:$B$40,2,FALSE)</f>
        <v>Sproei/extraheren</v>
      </c>
      <c r="J722" s="433">
        <v>5</v>
      </c>
      <c r="K722" s="433">
        <f t="shared" si="55"/>
        <v>0</v>
      </c>
      <c r="L722" s="433">
        <f t="shared" si="56"/>
        <v>0</v>
      </c>
      <c r="M722" s="433">
        <f t="shared" si="57"/>
        <v>5</v>
      </c>
      <c r="N722" s="672"/>
      <c r="O722" s="729">
        <f>IF(N722="",0,N722*K722/'9b-Vloeronderhoud'!$F$4)</f>
        <v>0</v>
      </c>
      <c r="P722" s="672"/>
      <c r="Q722" s="729" t="e">
        <f>IF(O722="",0,P722*L722/'9b-Vloeronderhoud'!$F$6)</f>
        <v>#DIV/0!</v>
      </c>
      <c r="R722" s="449">
        <v>1</v>
      </c>
      <c r="S722" s="672">
        <v>190</v>
      </c>
      <c r="T722" s="161" t="e">
        <f t="shared" si="58"/>
        <v>#DIV/0!</v>
      </c>
      <c r="U722" s="162">
        <f>IF(S722="nio",0,IF(S722&gt;0,VLOOKUP(G722,'3-Productie normen'!A:K,VLOOKUP(S722,'3-Productie normen'!L:N,3,FALSE),FALSE)))</f>
        <v>0</v>
      </c>
      <c r="V722" s="162">
        <f>VLOOKUP(G722,'3-Productie normen'!A:K,10,FALSE)</f>
        <v>726.97999910354622</v>
      </c>
      <c r="W722" s="163">
        <f>VLOOKUP(G722,'3-Productie normen'!A:K,11,FALSE)</f>
        <v>0</v>
      </c>
      <c r="X722" s="163"/>
      <c r="Z722" s="129">
        <f t="shared" si="59"/>
        <v>950</v>
      </c>
    </row>
    <row r="723" spans="1:26" ht="14.1" customHeight="1">
      <c r="A723" s="144">
        <v>729</v>
      </c>
      <c r="B723" s="160" t="s">
        <v>251</v>
      </c>
      <c r="C723" s="303" t="s">
        <v>743</v>
      </c>
      <c r="D723" s="304" t="s">
        <v>98</v>
      </c>
      <c r="E723" s="694" t="s">
        <v>312</v>
      </c>
      <c r="F723" s="303" t="s">
        <v>282</v>
      </c>
      <c r="G723" s="460" t="s">
        <v>881</v>
      </c>
      <c r="H723" s="303" t="s">
        <v>100</v>
      </c>
      <c r="I723" s="582" t="str">
        <f>VLOOKUP(H723,'9a-Typen vloeren'!$A$10:$B$40,2,FALSE)</f>
        <v>Sprayen/ conserveren</v>
      </c>
      <c r="J723" s="433">
        <v>1.6000000238418579</v>
      </c>
      <c r="K723" s="433">
        <f t="shared" si="55"/>
        <v>0</v>
      </c>
      <c r="L723" s="433">
        <f t="shared" si="56"/>
        <v>0</v>
      </c>
      <c r="M723" s="433">
        <f t="shared" si="57"/>
        <v>0</v>
      </c>
      <c r="N723" s="672"/>
      <c r="O723" s="729">
        <f>IF(N723="",0,N723*K723/'9b-Vloeronderhoud'!$F$4)</f>
        <v>0</v>
      </c>
      <c r="P723" s="672"/>
      <c r="Q723" s="729" t="e">
        <f>IF(O723="",0,P723*L723/'9b-Vloeronderhoud'!$F$6)</f>
        <v>#DIV/0!</v>
      </c>
      <c r="R723" s="449">
        <v>1</v>
      </c>
      <c r="S723" s="672" t="s">
        <v>179</v>
      </c>
      <c r="T723" s="161">
        <f t="shared" si="58"/>
        <v>0</v>
      </c>
      <c r="U723" s="162">
        <f>IF(S723="nio",0,IF(S723&gt;0,VLOOKUP(G723,'3-Productie normen'!A:K,VLOOKUP(S723,'3-Productie normen'!L:N,3,FALSE),FALSE)))</f>
        <v>0</v>
      </c>
      <c r="V723" s="162">
        <f>VLOOKUP(G723,'3-Productie normen'!A:K,10,FALSE)</f>
        <v>5262.809993648526</v>
      </c>
      <c r="W723" s="163">
        <f>VLOOKUP(G723,'3-Productie normen'!A:K,11,FALSE)</f>
        <v>0</v>
      </c>
      <c r="X723" s="163"/>
      <c r="Z723" s="129">
        <f t="shared" si="59"/>
        <v>0</v>
      </c>
    </row>
    <row r="724" spans="1:26" ht="14.1" customHeight="1">
      <c r="A724" s="144">
        <v>730</v>
      </c>
      <c r="B724" s="160" t="s">
        <v>251</v>
      </c>
      <c r="C724" s="303" t="s">
        <v>743</v>
      </c>
      <c r="D724" s="304" t="s">
        <v>98</v>
      </c>
      <c r="E724" s="694" t="s">
        <v>314</v>
      </c>
      <c r="F724" s="303" t="s">
        <v>282</v>
      </c>
      <c r="G724" s="460" t="s">
        <v>881</v>
      </c>
      <c r="H724" s="303" t="s">
        <v>375</v>
      </c>
      <c r="I724" s="582" t="str">
        <f>VLOOKUP(H724,'9a-Typen vloeren'!$A$10:$B$40,2,FALSE)</f>
        <v>n.v.t.</v>
      </c>
      <c r="J724" s="433">
        <v>4.1500000953674316</v>
      </c>
      <c r="K724" s="433">
        <f t="shared" si="55"/>
        <v>0</v>
      </c>
      <c r="L724" s="433">
        <f t="shared" si="56"/>
        <v>0</v>
      </c>
      <c r="M724" s="433">
        <f t="shared" si="57"/>
        <v>0</v>
      </c>
      <c r="N724" s="672"/>
      <c r="O724" s="729">
        <f>IF(N724="",0,N724*K724/'9b-Vloeronderhoud'!$F$4)</f>
        <v>0</v>
      </c>
      <c r="P724" s="672"/>
      <c r="Q724" s="729" t="e">
        <f>IF(O724="",0,P724*L724/'9b-Vloeronderhoud'!$F$6)</f>
        <v>#DIV/0!</v>
      </c>
      <c r="R724" s="449">
        <v>1</v>
      </c>
      <c r="S724" s="672" t="s">
        <v>179</v>
      </c>
      <c r="T724" s="161">
        <f t="shared" si="58"/>
        <v>0</v>
      </c>
      <c r="U724" s="162">
        <f>IF(S724="nio",0,IF(S724&gt;0,VLOOKUP(G724,'3-Productie normen'!A:K,VLOOKUP(S724,'3-Productie normen'!L:N,3,FALSE),FALSE)))</f>
        <v>0</v>
      </c>
      <c r="V724" s="162">
        <f>VLOOKUP(G724,'3-Productie normen'!A:K,10,FALSE)</f>
        <v>5262.809993648526</v>
      </c>
      <c r="W724" s="163">
        <f>VLOOKUP(G724,'3-Productie normen'!A:K,11,FALSE)</f>
        <v>0</v>
      </c>
      <c r="X724" s="163"/>
      <c r="Z724" s="129">
        <f t="shared" si="59"/>
        <v>0</v>
      </c>
    </row>
    <row r="725" spans="1:26" ht="14.1" customHeight="1">
      <c r="A725" s="144">
        <v>731</v>
      </c>
      <c r="B725" s="160" t="s">
        <v>251</v>
      </c>
      <c r="C725" s="303" t="s">
        <v>743</v>
      </c>
      <c r="D725" s="304" t="s">
        <v>98</v>
      </c>
      <c r="E725" s="694" t="s">
        <v>315</v>
      </c>
      <c r="F725" s="303" t="s">
        <v>341</v>
      </c>
      <c r="G725" s="533" t="s">
        <v>190</v>
      </c>
      <c r="H725" s="303" t="s">
        <v>100</v>
      </c>
      <c r="I725" s="582" t="str">
        <f>VLOOKUP(H725,'9a-Typen vloeren'!$A$10:$B$40,2,FALSE)</f>
        <v>Sprayen/ conserveren</v>
      </c>
      <c r="J725" s="433">
        <v>2.0999999046325684</v>
      </c>
      <c r="K725" s="433">
        <f t="shared" si="55"/>
        <v>2.0999999046325684</v>
      </c>
      <c r="L725" s="433">
        <f t="shared" si="56"/>
        <v>0</v>
      </c>
      <c r="M725" s="433">
        <f t="shared" si="57"/>
        <v>0</v>
      </c>
      <c r="N725" s="672">
        <v>2</v>
      </c>
      <c r="O725" s="729" t="e">
        <f>IF(N725="",0,N725*K725/'9b-Vloeronderhoud'!$F$4)</f>
        <v>#DIV/0!</v>
      </c>
      <c r="P725" s="672"/>
      <c r="Q725" s="729" t="e">
        <f>IF(O725="",0,P725*L725/'9b-Vloeronderhoud'!$F$6)</f>
        <v>#DIV/0!</v>
      </c>
      <c r="R725" s="449">
        <v>1</v>
      </c>
      <c r="S725" s="672">
        <v>40</v>
      </c>
      <c r="T725" s="161" t="e">
        <f t="shared" si="58"/>
        <v>#DIV/0!</v>
      </c>
      <c r="U725" s="162">
        <f>IF(S725="nio",0,IF(S725&gt;0,VLOOKUP(G725,'3-Productie normen'!A:K,VLOOKUP(S725,'3-Productie normen'!L:N,3,FALSE),FALSE)))</f>
        <v>0</v>
      </c>
      <c r="V725" s="162">
        <f>VLOOKUP(G725,'3-Productie normen'!A:K,10,FALSE)</f>
        <v>281.65000052452086</v>
      </c>
      <c r="W725" s="163">
        <f>VLOOKUP(G725,'3-Productie normen'!A:K,11,FALSE)</f>
        <v>0</v>
      </c>
      <c r="X725" s="163"/>
      <c r="Z725" s="129">
        <f t="shared" si="59"/>
        <v>83.999996185302734</v>
      </c>
    </row>
    <row r="726" spans="1:26" ht="14.1" customHeight="1">
      <c r="A726" s="144">
        <v>732</v>
      </c>
      <c r="B726" s="160" t="s">
        <v>251</v>
      </c>
      <c r="C726" s="303" t="s">
        <v>743</v>
      </c>
      <c r="D726" s="304" t="s">
        <v>98</v>
      </c>
      <c r="E726" s="694" t="s">
        <v>317</v>
      </c>
      <c r="F726" s="303" t="s">
        <v>346</v>
      </c>
      <c r="G726" s="460" t="s">
        <v>881</v>
      </c>
      <c r="H726" s="303" t="s">
        <v>375</v>
      </c>
      <c r="I726" s="582" t="str">
        <f>VLOOKUP(H726,'9a-Typen vloeren'!$A$10:$B$40,2,FALSE)</f>
        <v>n.v.t.</v>
      </c>
      <c r="J726" s="433">
        <v>3.5999999046325684</v>
      </c>
      <c r="K726" s="433">
        <f t="shared" si="55"/>
        <v>0</v>
      </c>
      <c r="L726" s="433">
        <f t="shared" si="56"/>
        <v>0</v>
      </c>
      <c r="M726" s="433">
        <f t="shared" si="57"/>
        <v>0</v>
      </c>
      <c r="N726" s="672"/>
      <c r="O726" s="729">
        <f>IF(N726="",0,N726*K726/'9b-Vloeronderhoud'!$F$4)</f>
        <v>0</v>
      </c>
      <c r="P726" s="672"/>
      <c r="Q726" s="729" t="e">
        <f>IF(O726="",0,P726*L726/'9b-Vloeronderhoud'!$F$6)</f>
        <v>#DIV/0!</v>
      </c>
      <c r="R726" s="449">
        <v>1</v>
      </c>
      <c r="S726" s="672" t="s">
        <v>179</v>
      </c>
      <c r="T726" s="161">
        <f t="shared" si="58"/>
        <v>0</v>
      </c>
      <c r="U726" s="162">
        <f>IF(S726="nio",0,IF(S726&gt;0,VLOOKUP(G726,'3-Productie normen'!A:K,VLOOKUP(S726,'3-Productie normen'!L:N,3,FALSE),FALSE)))</f>
        <v>0</v>
      </c>
      <c r="V726" s="162">
        <f>VLOOKUP(G726,'3-Productie normen'!A:K,10,FALSE)</f>
        <v>5262.809993648526</v>
      </c>
      <c r="W726" s="163">
        <f>VLOOKUP(G726,'3-Productie normen'!A:K,11,FALSE)</f>
        <v>0</v>
      </c>
      <c r="X726" s="163"/>
      <c r="Z726" s="129">
        <f t="shared" si="59"/>
        <v>0</v>
      </c>
    </row>
    <row r="727" spans="1:26" ht="14.1" customHeight="1">
      <c r="A727" s="144">
        <v>733</v>
      </c>
      <c r="B727" s="160" t="s">
        <v>251</v>
      </c>
      <c r="C727" s="303" t="s">
        <v>743</v>
      </c>
      <c r="D727" s="304" t="s">
        <v>98</v>
      </c>
      <c r="E727" s="694" t="s">
        <v>318</v>
      </c>
      <c r="F727" s="303" t="s">
        <v>611</v>
      </c>
      <c r="G727" s="460" t="s">
        <v>286</v>
      </c>
      <c r="H727" s="303" t="s">
        <v>100</v>
      </c>
      <c r="I727" s="582" t="str">
        <f>VLOOKUP(H727,'9a-Typen vloeren'!$A$10:$B$40,2,FALSE)</f>
        <v>Sprayen/ conserveren</v>
      </c>
      <c r="J727" s="433">
        <v>11.100000381469727</v>
      </c>
      <c r="K727" s="433">
        <f t="shared" si="55"/>
        <v>11.100000381469727</v>
      </c>
      <c r="L727" s="433">
        <f t="shared" si="56"/>
        <v>0</v>
      </c>
      <c r="M727" s="433">
        <f t="shared" si="57"/>
        <v>0</v>
      </c>
      <c r="N727" s="672"/>
      <c r="O727" s="729">
        <f>IF(N727="",0,N727*K727/'9b-Vloeronderhoud'!$F$4)</f>
        <v>0</v>
      </c>
      <c r="P727" s="672"/>
      <c r="Q727" s="729" t="e">
        <f>IF(O727="",0,P727*L727/'9b-Vloeronderhoud'!$F$6)</f>
        <v>#DIV/0!</v>
      </c>
      <c r="R727" s="449">
        <v>1</v>
      </c>
      <c r="S727" s="672">
        <v>80</v>
      </c>
      <c r="T727" s="161" t="e">
        <f t="shared" si="58"/>
        <v>#DIV/0!</v>
      </c>
      <c r="U727" s="162">
        <f>IF(S727="nio",0,IF(S727&gt;0,VLOOKUP(G727,'3-Productie normen'!A:K,VLOOKUP(S727,'3-Productie normen'!L:N,3,FALSE),FALSE)))</f>
        <v>0</v>
      </c>
      <c r="V727" s="162">
        <f>VLOOKUP(G727,'3-Productie normen'!A:K,10,FALSE)</f>
        <v>6152.9500017547598</v>
      </c>
      <c r="W727" s="163">
        <f>VLOOKUP(G727,'3-Productie normen'!A:K,11,FALSE)</f>
        <v>0</v>
      </c>
      <c r="X727" s="163"/>
      <c r="Z727" s="129">
        <f t="shared" si="59"/>
        <v>888.00003051757813</v>
      </c>
    </row>
    <row r="728" spans="1:26" ht="14.1" customHeight="1">
      <c r="A728" s="144">
        <v>734</v>
      </c>
      <c r="B728" s="160" t="s">
        <v>251</v>
      </c>
      <c r="C728" s="303" t="s">
        <v>743</v>
      </c>
      <c r="D728" s="304" t="s">
        <v>98</v>
      </c>
      <c r="E728" s="694" t="s">
        <v>319</v>
      </c>
      <c r="F728" s="303" t="s">
        <v>338</v>
      </c>
      <c r="G728" s="171" t="s">
        <v>286</v>
      </c>
      <c r="H728" s="303" t="s">
        <v>332</v>
      </c>
      <c r="I728" s="582" t="str">
        <f>VLOOKUP(H728,'9a-Typen vloeren'!$A$10:$B$40,2,FALSE)</f>
        <v>Sproei/extraheren</v>
      </c>
      <c r="J728" s="433">
        <v>5.4499998092651367</v>
      </c>
      <c r="K728" s="433">
        <f t="shared" si="55"/>
        <v>0</v>
      </c>
      <c r="L728" s="433">
        <f t="shared" si="56"/>
        <v>0</v>
      </c>
      <c r="M728" s="433">
        <f t="shared" si="57"/>
        <v>5.4499998092651367</v>
      </c>
      <c r="N728" s="672"/>
      <c r="O728" s="729">
        <f>IF(N728="",0,N728*K728/'9b-Vloeronderhoud'!$F$4)</f>
        <v>0</v>
      </c>
      <c r="P728" s="672"/>
      <c r="Q728" s="729" t="e">
        <f>IF(O728="",0,P728*L728/'9b-Vloeronderhoud'!$F$6)</f>
        <v>#DIV/0!</v>
      </c>
      <c r="R728" s="449">
        <v>1</v>
      </c>
      <c r="S728" s="672">
        <v>120</v>
      </c>
      <c r="T728" s="161" t="e">
        <f t="shared" si="58"/>
        <v>#DIV/0!</v>
      </c>
      <c r="U728" s="162">
        <f>IF(S728="nio",0,IF(S728&gt;0,VLOOKUP(G728,'3-Productie normen'!A:K,VLOOKUP(S728,'3-Productie normen'!L:N,3,FALSE),FALSE)))</f>
        <v>0</v>
      </c>
      <c r="V728" s="162">
        <f>VLOOKUP(G728,'3-Productie normen'!A:K,10,FALSE)</f>
        <v>6152.9500017547598</v>
      </c>
      <c r="W728" s="163">
        <f>VLOOKUP(G728,'3-Productie normen'!A:K,11,FALSE)</f>
        <v>0</v>
      </c>
      <c r="X728" s="163"/>
      <c r="Z728" s="129">
        <f t="shared" si="59"/>
        <v>653.99997711181641</v>
      </c>
    </row>
    <row r="729" spans="1:26" ht="14.1" customHeight="1">
      <c r="A729" s="144">
        <v>735</v>
      </c>
      <c r="B729" s="160" t="s">
        <v>251</v>
      </c>
      <c r="C729" s="303" t="s">
        <v>743</v>
      </c>
      <c r="D729" s="304" t="s">
        <v>98</v>
      </c>
      <c r="E729" s="694" t="s">
        <v>320</v>
      </c>
      <c r="F729" s="303" t="s">
        <v>221</v>
      </c>
      <c r="G729" s="4" t="s">
        <v>421</v>
      </c>
      <c r="H729" s="303" t="s">
        <v>735</v>
      </c>
      <c r="I729" s="582" t="str">
        <f>VLOOKUP(H729,'9a-Typen vloeren'!$A$10:$B$40,2,FALSE)</f>
        <v>n.v.t.</v>
      </c>
      <c r="J729" s="433">
        <v>56</v>
      </c>
      <c r="K729" s="433">
        <f t="shared" si="55"/>
        <v>0</v>
      </c>
      <c r="L729" s="433">
        <f t="shared" si="56"/>
        <v>0</v>
      </c>
      <c r="M729" s="433">
        <f t="shared" si="57"/>
        <v>0</v>
      </c>
      <c r="N729" s="672"/>
      <c r="O729" s="729">
        <f>IF(N729="",0,N729*K729/'9b-Vloeronderhoud'!$F$4)</f>
        <v>0</v>
      </c>
      <c r="P729" s="672"/>
      <c r="Q729" s="729" t="e">
        <f>IF(O729="",0,P729*L729/'9b-Vloeronderhoud'!$F$6)</f>
        <v>#DIV/0!</v>
      </c>
      <c r="R729" s="449">
        <v>1</v>
      </c>
      <c r="S729" s="672">
        <v>40</v>
      </c>
      <c r="T729" s="161" t="e">
        <f t="shared" si="58"/>
        <v>#DIV/0!</v>
      </c>
      <c r="U729" s="162">
        <f>IF(S729="nio",0,IF(S729&gt;0,VLOOKUP(G729,'3-Productie normen'!A:K,VLOOKUP(S729,'3-Productie normen'!L:N,3,FALSE),FALSE)))</f>
        <v>0</v>
      </c>
      <c r="V729" s="162">
        <f>VLOOKUP(G729,'3-Productie normen'!A:K,10,FALSE)</f>
        <v>865.11000061035156</v>
      </c>
      <c r="W729" s="163">
        <f>VLOOKUP(G729,'3-Productie normen'!A:K,11,FALSE)</f>
        <v>0</v>
      </c>
      <c r="X729" s="163"/>
      <c r="Z729" s="129">
        <f t="shared" si="59"/>
        <v>2240</v>
      </c>
    </row>
    <row r="730" spans="1:26" ht="14.1" customHeight="1">
      <c r="A730" s="144">
        <v>736</v>
      </c>
      <c r="B730" s="160" t="s">
        <v>251</v>
      </c>
      <c r="C730" s="303" t="s">
        <v>743</v>
      </c>
      <c r="D730" s="304" t="s">
        <v>98</v>
      </c>
      <c r="E730" s="694" t="s">
        <v>321</v>
      </c>
      <c r="F730" s="303" t="s">
        <v>302</v>
      </c>
      <c r="G730" s="546" t="s">
        <v>18</v>
      </c>
      <c r="H730" s="534" t="s">
        <v>954</v>
      </c>
      <c r="I730" s="582" t="str">
        <f>VLOOKUP(H730,'9a-Typen vloeren'!$A$10:$B$40,2,FALSE)</f>
        <v>zie kwaliteitsontwerp</v>
      </c>
      <c r="J730" s="433">
        <v>5.8000001907348633</v>
      </c>
      <c r="K730" s="433">
        <f t="shared" si="55"/>
        <v>0</v>
      </c>
      <c r="L730" s="433">
        <f t="shared" si="56"/>
        <v>0</v>
      </c>
      <c r="M730" s="433">
        <f t="shared" si="57"/>
        <v>0</v>
      </c>
      <c r="N730" s="672"/>
      <c r="O730" s="729">
        <f>IF(N730="",0,N730*K730/'9b-Vloeronderhoud'!$F$4)</f>
        <v>0</v>
      </c>
      <c r="P730" s="672"/>
      <c r="Q730" s="729" t="e">
        <f>IF(O730="",0,P730*L730/'9b-Vloeronderhoud'!$F$6)</f>
        <v>#DIV/0!</v>
      </c>
      <c r="R730" s="449">
        <v>1</v>
      </c>
      <c r="S730" s="672">
        <v>190</v>
      </c>
      <c r="T730" s="161" t="e">
        <f t="shared" si="58"/>
        <v>#DIV/0!</v>
      </c>
      <c r="U730" s="162">
        <f>IF(S730="nio",0,IF(S730&gt;0,VLOOKUP(G730,'3-Productie normen'!A:K,VLOOKUP(S730,'3-Productie normen'!L:N,3,FALSE),FALSE)))</f>
        <v>0</v>
      </c>
      <c r="V730" s="162">
        <f>VLOOKUP(G730,'3-Productie normen'!A:K,10,FALSE)</f>
        <v>1859.5880019121171</v>
      </c>
      <c r="W730" s="163">
        <f>VLOOKUP(G730,'3-Productie normen'!A:K,11,FALSE)</f>
        <v>0</v>
      </c>
      <c r="X730" s="163"/>
      <c r="Z730" s="129">
        <f t="shared" si="59"/>
        <v>1102.000036239624</v>
      </c>
    </row>
    <row r="731" spans="1:26" ht="14.1" customHeight="1">
      <c r="A731" s="144">
        <v>737</v>
      </c>
      <c r="B731" s="160" t="s">
        <v>251</v>
      </c>
      <c r="C731" s="303" t="s">
        <v>743</v>
      </c>
      <c r="D731" s="304" t="s">
        <v>98</v>
      </c>
      <c r="E731" s="694" t="s">
        <v>323</v>
      </c>
      <c r="F731" s="303" t="s">
        <v>221</v>
      </c>
      <c r="G731" s="172" t="s">
        <v>221</v>
      </c>
      <c r="H731" s="303" t="s">
        <v>735</v>
      </c>
      <c r="I731" s="582" t="str">
        <f>VLOOKUP(H731,'9a-Typen vloeren'!$A$10:$B$40,2,FALSE)</f>
        <v>n.v.t.</v>
      </c>
      <c r="J731" s="433">
        <v>50</v>
      </c>
      <c r="K731" s="433">
        <f t="shared" si="55"/>
        <v>0</v>
      </c>
      <c r="L731" s="433">
        <f t="shared" si="56"/>
        <v>0</v>
      </c>
      <c r="M731" s="433">
        <f t="shared" si="57"/>
        <v>0</v>
      </c>
      <c r="N731" s="672"/>
      <c r="O731" s="729">
        <f>IF(N731="",0,N731*K731/'9b-Vloeronderhoud'!$F$4)</f>
        <v>0</v>
      </c>
      <c r="P731" s="672"/>
      <c r="Q731" s="729" t="e">
        <f>IF(O731="",0,P731*L731/'9b-Vloeronderhoud'!$F$6)</f>
        <v>#DIV/0!</v>
      </c>
      <c r="R731" s="449">
        <v>1</v>
      </c>
      <c r="S731" s="688" t="s">
        <v>179</v>
      </c>
      <c r="T731" s="161">
        <f t="shared" si="58"/>
        <v>0</v>
      </c>
      <c r="U731" s="162">
        <f>IF(S731="nio",0,IF(S731&gt;0,VLOOKUP(G731,'3-Productie normen'!A:K,VLOOKUP(S731,'3-Productie normen'!L:N,3,FALSE),FALSE)))</f>
        <v>0</v>
      </c>
      <c r="V731" s="162">
        <f>VLOOKUP(G731,'3-Productie normen'!A:K,10,FALSE)</f>
        <v>16013.110036668773</v>
      </c>
      <c r="W731" s="163">
        <f>VLOOKUP(G731,'3-Productie normen'!A:K,11,FALSE)</f>
        <v>0</v>
      </c>
      <c r="X731" s="163"/>
      <c r="Z731" s="129">
        <f t="shared" si="59"/>
        <v>0</v>
      </c>
    </row>
    <row r="732" spans="1:26" ht="14.1" customHeight="1">
      <c r="A732" s="144">
        <v>738</v>
      </c>
      <c r="B732" s="160" t="s">
        <v>251</v>
      </c>
      <c r="C732" s="303" t="s">
        <v>743</v>
      </c>
      <c r="D732" s="304" t="s">
        <v>98</v>
      </c>
      <c r="E732" s="694" t="s">
        <v>324</v>
      </c>
      <c r="F732" s="303" t="s">
        <v>344</v>
      </c>
      <c r="G732" s="4" t="s">
        <v>221</v>
      </c>
      <c r="H732" s="303" t="s">
        <v>100</v>
      </c>
      <c r="I732" s="582" t="str">
        <f>VLOOKUP(H732,'9a-Typen vloeren'!$A$10:$B$40,2,FALSE)</f>
        <v>Sprayen/ conserveren</v>
      </c>
      <c r="J732" s="433">
        <v>6</v>
      </c>
      <c r="K732" s="433">
        <f t="shared" si="55"/>
        <v>6</v>
      </c>
      <c r="L732" s="433">
        <f t="shared" si="56"/>
        <v>0</v>
      </c>
      <c r="M732" s="433">
        <f t="shared" si="57"/>
        <v>0</v>
      </c>
      <c r="N732" s="672"/>
      <c r="O732" s="729">
        <f>IF(N732="",0,N732*K732/'9b-Vloeronderhoud'!$F$4)</f>
        <v>0</v>
      </c>
      <c r="P732" s="672"/>
      <c r="Q732" s="729" t="e">
        <f>IF(O732="",0,P732*L732/'9b-Vloeronderhoud'!$F$6)</f>
        <v>#DIV/0!</v>
      </c>
      <c r="R732" s="449">
        <v>1</v>
      </c>
      <c r="S732" s="672">
        <v>80</v>
      </c>
      <c r="T732" s="161" t="e">
        <f t="shared" si="58"/>
        <v>#DIV/0!</v>
      </c>
      <c r="U732" s="162">
        <f>IF(S732="nio",0,IF(S732&gt;0,VLOOKUP(G732,'3-Productie normen'!A:K,VLOOKUP(S732,'3-Productie normen'!L:N,3,FALSE),FALSE)))</f>
        <v>0</v>
      </c>
      <c r="V732" s="162">
        <f>VLOOKUP(G732,'3-Productie normen'!A:K,10,FALSE)</f>
        <v>16013.110036668773</v>
      </c>
      <c r="W732" s="163">
        <f>VLOOKUP(G732,'3-Productie normen'!A:K,11,FALSE)</f>
        <v>0</v>
      </c>
      <c r="X732" s="163"/>
      <c r="Z732" s="129">
        <f t="shared" si="59"/>
        <v>480</v>
      </c>
    </row>
    <row r="733" spans="1:26" ht="14.1" customHeight="1">
      <c r="A733" s="144">
        <v>739</v>
      </c>
      <c r="B733" s="160" t="s">
        <v>251</v>
      </c>
      <c r="C733" s="303" t="s">
        <v>743</v>
      </c>
      <c r="D733" s="304" t="s">
        <v>98</v>
      </c>
      <c r="E733" s="694" t="s">
        <v>325</v>
      </c>
      <c r="F733" s="494" t="s">
        <v>302</v>
      </c>
      <c r="G733" s="122" t="s">
        <v>18</v>
      </c>
      <c r="H733" s="534" t="s">
        <v>954</v>
      </c>
      <c r="I733" s="582" t="str">
        <f>VLOOKUP(H733,'9a-Typen vloeren'!$A$10:$B$40,2,FALSE)</f>
        <v>zie kwaliteitsontwerp</v>
      </c>
      <c r="J733" s="433">
        <v>5.8000001907348633</v>
      </c>
      <c r="K733" s="433">
        <f t="shared" si="55"/>
        <v>0</v>
      </c>
      <c r="L733" s="433">
        <f t="shared" si="56"/>
        <v>0</v>
      </c>
      <c r="M733" s="433">
        <f t="shared" si="57"/>
        <v>0</v>
      </c>
      <c r="N733" s="672"/>
      <c r="O733" s="729">
        <f>IF(N733="",0,N733*K733/'9b-Vloeronderhoud'!$F$4)</f>
        <v>0</v>
      </c>
      <c r="P733" s="672"/>
      <c r="Q733" s="729" t="e">
        <f>IF(O733="",0,P733*L733/'9b-Vloeronderhoud'!$F$6)</f>
        <v>#DIV/0!</v>
      </c>
      <c r="R733" s="449">
        <v>1</v>
      </c>
      <c r="S733" s="672">
        <v>190</v>
      </c>
      <c r="T733" s="161" t="e">
        <f t="shared" si="58"/>
        <v>#DIV/0!</v>
      </c>
      <c r="U733" s="162">
        <f>IF(S733="nio",0,IF(S733&gt;0,VLOOKUP(G733,'3-Productie normen'!A:K,VLOOKUP(S733,'3-Productie normen'!L:N,3,FALSE),FALSE)))</f>
        <v>0</v>
      </c>
      <c r="V733" s="162">
        <f>VLOOKUP(G733,'3-Productie normen'!A:K,10,FALSE)</f>
        <v>1859.5880019121171</v>
      </c>
      <c r="W733" s="163">
        <f>VLOOKUP(G733,'3-Productie normen'!A:K,11,FALSE)</f>
        <v>0</v>
      </c>
      <c r="X733" s="163"/>
      <c r="Z733" s="129">
        <f t="shared" si="59"/>
        <v>1102.000036239624</v>
      </c>
    </row>
    <row r="734" spans="1:26" ht="14.1" customHeight="1">
      <c r="A734" s="144">
        <v>740</v>
      </c>
      <c r="B734" s="160" t="s">
        <v>251</v>
      </c>
      <c r="C734" s="303" t="s">
        <v>743</v>
      </c>
      <c r="D734" s="304" t="s">
        <v>98</v>
      </c>
      <c r="E734" s="694" t="s">
        <v>326</v>
      </c>
      <c r="F734" s="303" t="s">
        <v>745</v>
      </c>
      <c r="G734" s="546" t="s">
        <v>286</v>
      </c>
      <c r="H734" s="303" t="s">
        <v>735</v>
      </c>
      <c r="I734" s="582" t="str">
        <f>VLOOKUP(H734,'9a-Typen vloeren'!$A$10:$B$40,2,FALSE)</f>
        <v>n.v.t.</v>
      </c>
      <c r="J734" s="433">
        <v>36.599998474121094</v>
      </c>
      <c r="K734" s="433">
        <f t="shared" si="55"/>
        <v>0</v>
      </c>
      <c r="L734" s="433">
        <f t="shared" si="56"/>
        <v>0</v>
      </c>
      <c r="M734" s="433">
        <f t="shared" si="57"/>
        <v>0</v>
      </c>
      <c r="N734" s="672"/>
      <c r="O734" s="729">
        <f>IF(N734="",0,N734*K734/'9b-Vloeronderhoud'!$F$4)</f>
        <v>0</v>
      </c>
      <c r="P734" s="672"/>
      <c r="Q734" s="729" t="e">
        <f>IF(O734="",0,P734*L734/'9b-Vloeronderhoud'!$F$6)</f>
        <v>#DIV/0!</v>
      </c>
      <c r="R734" s="449">
        <v>1</v>
      </c>
      <c r="S734" s="672">
        <v>120</v>
      </c>
      <c r="T734" s="161" t="e">
        <f t="shared" si="58"/>
        <v>#DIV/0!</v>
      </c>
      <c r="U734" s="162">
        <f>IF(S734="nio",0,IF(S734&gt;0,VLOOKUP(G734,'3-Productie normen'!A:K,VLOOKUP(S734,'3-Productie normen'!L:N,3,FALSE),FALSE)))</f>
        <v>0</v>
      </c>
      <c r="V734" s="162">
        <f>VLOOKUP(G734,'3-Productie normen'!A:K,10,FALSE)</f>
        <v>6152.9500017547598</v>
      </c>
      <c r="W734" s="163">
        <f>VLOOKUP(G734,'3-Productie normen'!A:K,11,FALSE)</f>
        <v>0</v>
      </c>
      <c r="X734" s="163"/>
      <c r="Z734" s="129">
        <f t="shared" si="59"/>
        <v>4391.9998168945313</v>
      </c>
    </row>
    <row r="735" spans="1:26" ht="14.1" customHeight="1">
      <c r="A735" s="144">
        <v>741</v>
      </c>
      <c r="B735" s="160" t="s">
        <v>251</v>
      </c>
      <c r="C735" s="303" t="s">
        <v>743</v>
      </c>
      <c r="D735" s="304" t="s">
        <v>98</v>
      </c>
      <c r="E735" s="694" t="s">
        <v>328</v>
      </c>
      <c r="F735" s="303" t="s">
        <v>285</v>
      </c>
      <c r="G735" s="460" t="s">
        <v>285</v>
      </c>
      <c r="H735" s="303" t="s">
        <v>100</v>
      </c>
      <c r="I735" s="582" t="str">
        <f>VLOOKUP(H735,'9a-Typen vloeren'!$A$10:$B$40,2,FALSE)</f>
        <v>Sprayen/ conserveren</v>
      </c>
      <c r="J735" s="433">
        <v>70.849998474121094</v>
      </c>
      <c r="K735" s="433">
        <f t="shared" si="55"/>
        <v>70.849998474121094</v>
      </c>
      <c r="L735" s="433">
        <f t="shared" si="56"/>
        <v>0</v>
      </c>
      <c r="M735" s="433">
        <f t="shared" si="57"/>
        <v>0</v>
      </c>
      <c r="N735" s="672"/>
      <c r="O735" s="729">
        <f>IF(N735="",0,N735*K735/'9b-Vloeronderhoud'!$F$4)</f>
        <v>0</v>
      </c>
      <c r="P735" s="672"/>
      <c r="Q735" s="729" t="e">
        <f>IF(O735="",0,P735*L735/'9b-Vloeronderhoud'!$F$6)</f>
        <v>#DIV/0!</v>
      </c>
      <c r="R735" s="449">
        <v>1</v>
      </c>
      <c r="S735" s="672">
        <v>190</v>
      </c>
      <c r="T735" s="161" t="e">
        <f t="shared" si="58"/>
        <v>#DIV/0!</v>
      </c>
      <c r="U735" s="162">
        <f>IF(S735="nio",0,IF(S735&gt;0,VLOOKUP(G735,'3-Productie normen'!A:K,VLOOKUP(S735,'3-Productie normen'!L:N,3,FALSE),FALSE)))</f>
        <v>0</v>
      </c>
      <c r="V735" s="162">
        <f>VLOOKUP(G735,'3-Productie normen'!A:K,10,FALSE)</f>
        <v>3305.8200070953367</v>
      </c>
      <c r="W735" s="163">
        <f>VLOOKUP(G735,'3-Productie normen'!A:K,11,FALSE)</f>
        <v>0</v>
      </c>
      <c r="X735" s="163"/>
      <c r="Z735" s="129">
        <f t="shared" si="59"/>
        <v>13461.499710083008</v>
      </c>
    </row>
    <row r="736" spans="1:26" ht="14.1" customHeight="1">
      <c r="A736" s="144">
        <v>742</v>
      </c>
      <c r="B736" s="160" t="s">
        <v>251</v>
      </c>
      <c r="C736" s="303" t="s">
        <v>743</v>
      </c>
      <c r="D736" s="304" t="s">
        <v>98</v>
      </c>
      <c r="E736" s="714" t="s">
        <v>669</v>
      </c>
      <c r="F736" s="303" t="s">
        <v>344</v>
      </c>
      <c r="G736" s="303" t="s">
        <v>221</v>
      </c>
      <c r="H736" s="303" t="s">
        <v>101</v>
      </c>
      <c r="I736" s="582" t="str">
        <f>VLOOKUP(H736,'9a-Typen vloeren'!$A$10:$B$40,2,FALSE)</f>
        <v>Schrobben</v>
      </c>
      <c r="J736" s="673">
        <v>7</v>
      </c>
      <c r="K736" s="433">
        <f t="shared" si="55"/>
        <v>0</v>
      </c>
      <c r="L736" s="433">
        <f t="shared" si="56"/>
        <v>7</v>
      </c>
      <c r="M736" s="433">
        <f t="shared" si="57"/>
        <v>0</v>
      </c>
      <c r="N736" s="672"/>
      <c r="O736" s="729">
        <f>IF(N736="",0,N736*K736/'9b-Vloeronderhoud'!$F$4)</f>
        <v>0</v>
      </c>
      <c r="P736" s="672"/>
      <c r="Q736" s="729" t="e">
        <f>IF(O736="",0,P736*L736/'9b-Vloeronderhoud'!$F$6)</f>
        <v>#DIV/0!</v>
      </c>
      <c r="R736" s="449">
        <v>1</v>
      </c>
      <c r="S736" s="672">
        <v>80</v>
      </c>
      <c r="T736" s="161" t="e">
        <f t="shared" si="58"/>
        <v>#DIV/0!</v>
      </c>
      <c r="U736" s="162">
        <f>IF(S736="nio",0,IF(S736&gt;0,VLOOKUP(G736,'3-Productie normen'!A:K,VLOOKUP(S736,'3-Productie normen'!L:N,3,FALSE),FALSE)))</f>
        <v>0</v>
      </c>
      <c r="V736" s="162">
        <f>VLOOKUP(G736,'3-Productie normen'!A:K,10,FALSE)</f>
        <v>16013.110036668773</v>
      </c>
      <c r="W736" s="163">
        <f>VLOOKUP(G736,'3-Productie normen'!A:K,11,FALSE)</f>
        <v>0</v>
      </c>
      <c r="X736" s="163"/>
      <c r="Z736" s="129">
        <f t="shared" si="59"/>
        <v>560</v>
      </c>
    </row>
    <row r="737" spans="1:26" ht="14.1" customHeight="1">
      <c r="A737" s="144">
        <v>743</v>
      </c>
      <c r="B737" s="160" t="s">
        <v>251</v>
      </c>
      <c r="C737" s="303" t="s">
        <v>743</v>
      </c>
      <c r="D737" s="304" t="s">
        <v>98</v>
      </c>
      <c r="E737" s="714" t="s">
        <v>329</v>
      </c>
      <c r="F737" s="303" t="s">
        <v>489</v>
      </c>
      <c r="G737" s="460" t="s">
        <v>99</v>
      </c>
      <c r="H737" s="303" t="s">
        <v>332</v>
      </c>
      <c r="I737" s="582" t="str">
        <f>VLOOKUP(H737,'9a-Typen vloeren'!$A$10:$B$40,2,FALSE)</f>
        <v>Sproei/extraheren</v>
      </c>
      <c r="J737" s="673">
        <v>17.75</v>
      </c>
      <c r="K737" s="433">
        <f t="shared" si="55"/>
        <v>0</v>
      </c>
      <c r="L737" s="433">
        <f t="shared" si="56"/>
        <v>0</v>
      </c>
      <c r="M737" s="433">
        <f t="shared" si="57"/>
        <v>17.75</v>
      </c>
      <c r="N737" s="672"/>
      <c r="O737" s="729">
        <f>IF(N737="",0,N737*K737/'9b-Vloeronderhoud'!$F$4)</f>
        <v>0</v>
      </c>
      <c r="P737" s="672"/>
      <c r="Q737" s="729" t="e">
        <f>IF(O737="",0,P737*L737/'9b-Vloeronderhoud'!$F$6)</f>
        <v>#DIV/0!</v>
      </c>
      <c r="R737" s="449">
        <v>1</v>
      </c>
      <c r="S737" s="672">
        <v>190</v>
      </c>
      <c r="T737" s="161" t="e">
        <f t="shared" si="58"/>
        <v>#DIV/0!</v>
      </c>
      <c r="U737" s="162">
        <f>IF(S737="nio",0,IF(S737&gt;0,VLOOKUP(G737,'3-Productie normen'!A:K,VLOOKUP(S737,'3-Productie normen'!L:N,3,FALSE),FALSE)))</f>
        <v>0</v>
      </c>
      <c r="V737" s="162">
        <f>VLOOKUP(G737,'3-Productie normen'!A:K,10,FALSE)</f>
        <v>726.97999910354622</v>
      </c>
      <c r="W737" s="163">
        <f>VLOOKUP(G737,'3-Productie normen'!A:K,11,FALSE)</f>
        <v>0</v>
      </c>
      <c r="X737" s="163"/>
      <c r="Z737" s="129">
        <f t="shared" si="59"/>
        <v>3372.5</v>
      </c>
    </row>
    <row r="738" spans="1:26" ht="14.1" customHeight="1">
      <c r="A738" s="144">
        <v>744</v>
      </c>
      <c r="B738" s="160" t="s">
        <v>251</v>
      </c>
      <c r="C738" s="303" t="s">
        <v>743</v>
      </c>
      <c r="D738" s="304" t="s">
        <v>98</v>
      </c>
      <c r="E738" s="714" t="s">
        <v>330</v>
      </c>
      <c r="F738" s="303" t="s">
        <v>302</v>
      </c>
      <c r="G738" s="460" t="s">
        <v>18</v>
      </c>
      <c r="H738" s="534" t="s">
        <v>954</v>
      </c>
      <c r="I738" s="582" t="str">
        <f>VLOOKUP(H738,'9a-Typen vloeren'!$A$10:$B$40,2,FALSE)</f>
        <v>zie kwaliteitsontwerp</v>
      </c>
      <c r="J738" s="673">
        <v>5.8000001907348633</v>
      </c>
      <c r="K738" s="433">
        <f t="shared" si="55"/>
        <v>0</v>
      </c>
      <c r="L738" s="433">
        <f t="shared" si="56"/>
        <v>0</v>
      </c>
      <c r="M738" s="433">
        <f t="shared" si="57"/>
        <v>0</v>
      </c>
      <c r="N738" s="672"/>
      <c r="O738" s="729">
        <f>IF(N738="",0,N738*K738/'9b-Vloeronderhoud'!$F$4)</f>
        <v>0</v>
      </c>
      <c r="P738" s="672"/>
      <c r="Q738" s="729" t="e">
        <f>IF(O738="",0,P738*L738/'9b-Vloeronderhoud'!$F$6)</f>
        <v>#DIV/0!</v>
      </c>
      <c r="R738" s="449">
        <v>1</v>
      </c>
      <c r="S738" s="672">
        <v>190</v>
      </c>
      <c r="T738" s="161" t="e">
        <f t="shared" si="58"/>
        <v>#DIV/0!</v>
      </c>
      <c r="U738" s="162">
        <f>IF(S738="nio",0,IF(S738&gt;0,VLOOKUP(G738,'3-Productie normen'!A:K,VLOOKUP(S738,'3-Productie normen'!L:N,3,FALSE),FALSE)))</f>
        <v>0</v>
      </c>
      <c r="V738" s="162">
        <f>VLOOKUP(G738,'3-Productie normen'!A:K,10,FALSE)</f>
        <v>1859.5880019121171</v>
      </c>
      <c r="W738" s="163">
        <f>VLOOKUP(G738,'3-Productie normen'!A:K,11,FALSE)</f>
        <v>0</v>
      </c>
      <c r="X738" s="163"/>
      <c r="Z738" s="129">
        <f t="shared" si="59"/>
        <v>1102.000036239624</v>
      </c>
    </row>
    <row r="739" spans="1:26" ht="14.1" customHeight="1">
      <c r="A739" s="144">
        <v>745</v>
      </c>
      <c r="B739" s="160" t="s">
        <v>251</v>
      </c>
      <c r="C739" s="303" t="s">
        <v>743</v>
      </c>
      <c r="D739" s="304" t="s">
        <v>98</v>
      </c>
      <c r="E739" s="714" t="s">
        <v>331</v>
      </c>
      <c r="F739" s="303" t="s">
        <v>347</v>
      </c>
      <c r="G739" s="502" t="s">
        <v>347</v>
      </c>
      <c r="H739" s="303" t="s">
        <v>100</v>
      </c>
      <c r="I739" s="582" t="str">
        <f>VLOOKUP(H739,'9a-Typen vloeren'!$A$10:$B$40,2,FALSE)</f>
        <v>Sprayen/ conserveren</v>
      </c>
      <c r="J739" s="673">
        <v>67.699996948242188</v>
      </c>
      <c r="K739" s="433">
        <f t="shared" si="55"/>
        <v>67.699996948242188</v>
      </c>
      <c r="L739" s="433">
        <f t="shared" si="56"/>
        <v>0</v>
      </c>
      <c r="M739" s="433">
        <f t="shared" si="57"/>
        <v>0</v>
      </c>
      <c r="N739" s="672"/>
      <c r="O739" s="729">
        <f>IF(N739="",0,N739*K739/'9b-Vloeronderhoud'!$F$4)</f>
        <v>0</v>
      </c>
      <c r="P739" s="672"/>
      <c r="Q739" s="729" t="e">
        <f>IF(O739="",0,P739*L739/'9b-Vloeronderhoud'!$F$6)</f>
        <v>#DIV/0!</v>
      </c>
      <c r="R739" s="449">
        <v>1</v>
      </c>
      <c r="S739" s="672">
        <v>44</v>
      </c>
      <c r="T739" s="161" t="e">
        <f t="shared" si="58"/>
        <v>#DIV/0!</v>
      </c>
      <c r="U739" s="162">
        <f>IF(S739="nio",0,IF(S739&gt;0,VLOOKUP(G739,'3-Productie normen'!A:K,VLOOKUP(S739,'3-Productie normen'!L:N,3,FALSE),FALSE)))</f>
        <v>0</v>
      </c>
      <c r="V739" s="162">
        <f>VLOOKUP(G739,'3-Productie normen'!A:K,10,FALSE)</f>
        <v>1134.6299961853026</v>
      </c>
      <c r="W739" s="163">
        <f>VLOOKUP(G739,'3-Productie normen'!A:K,11,FALSE)</f>
        <v>0</v>
      </c>
      <c r="X739" s="163"/>
      <c r="Z739" s="129">
        <f t="shared" si="59"/>
        <v>2978.7998657226563</v>
      </c>
    </row>
    <row r="740" spans="1:26" ht="14.1" customHeight="1">
      <c r="A740" s="144">
        <v>746</v>
      </c>
      <c r="B740" s="160" t="s">
        <v>251</v>
      </c>
      <c r="C740" s="303" t="s">
        <v>743</v>
      </c>
      <c r="D740" s="304" t="s">
        <v>98</v>
      </c>
      <c r="E740" s="714" t="s">
        <v>406</v>
      </c>
      <c r="F740" s="674" t="s">
        <v>313</v>
      </c>
      <c r="G740" s="460" t="s">
        <v>881</v>
      </c>
      <c r="H740" s="303" t="s">
        <v>100</v>
      </c>
      <c r="I740" s="582" t="str">
        <f>VLOOKUP(H740,'9a-Typen vloeren'!$A$10:$B$40,2,FALSE)</f>
        <v>Sprayen/ conserveren</v>
      </c>
      <c r="J740" s="673">
        <v>3.25</v>
      </c>
      <c r="K740" s="433">
        <f t="shared" si="55"/>
        <v>0</v>
      </c>
      <c r="L740" s="433">
        <f t="shared" si="56"/>
        <v>0</v>
      </c>
      <c r="M740" s="433">
        <f t="shared" si="57"/>
        <v>0</v>
      </c>
      <c r="N740" s="672"/>
      <c r="O740" s="729">
        <f>IF(N740="",0,N740*K740/'9b-Vloeronderhoud'!$F$4)</f>
        <v>0</v>
      </c>
      <c r="P740" s="672"/>
      <c r="Q740" s="729" t="e">
        <f>IF(O740="",0,P740*L740/'9b-Vloeronderhoud'!$F$6)</f>
        <v>#DIV/0!</v>
      </c>
      <c r="R740" s="449">
        <v>1</v>
      </c>
      <c r="S740" s="672" t="s">
        <v>179</v>
      </c>
      <c r="T740" s="161">
        <f t="shared" si="58"/>
        <v>0</v>
      </c>
      <c r="U740" s="162">
        <f>IF(S740="nio",0,IF(S740&gt;0,VLOOKUP(G740,'3-Productie normen'!A:K,VLOOKUP(S740,'3-Productie normen'!L:N,3,FALSE),FALSE)))</f>
        <v>0</v>
      </c>
      <c r="V740" s="162">
        <f>VLOOKUP(G740,'3-Productie normen'!A:K,10,FALSE)</f>
        <v>5262.809993648526</v>
      </c>
      <c r="W740" s="163">
        <f>VLOOKUP(G740,'3-Productie normen'!A:K,11,FALSE)</f>
        <v>0</v>
      </c>
      <c r="X740" s="163"/>
      <c r="Z740" s="129">
        <f t="shared" si="59"/>
        <v>0</v>
      </c>
    </row>
    <row r="741" spans="1:26" ht="14.1" customHeight="1">
      <c r="A741" s="144">
        <v>747</v>
      </c>
      <c r="B741" s="160" t="s">
        <v>251</v>
      </c>
      <c r="C741" s="303" t="s">
        <v>743</v>
      </c>
      <c r="D741" s="304" t="s">
        <v>98</v>
      </c>
      <c r="E741" s="694" t="s">
        <v>407</v>
      </c>
      <c r="F741" s="303" t="s">
        <v>302</v>
      </c>
      <c r="G741" s="303" t="s">
        <v>18</v>
      </c>
      <c r="H741" s="534" t="s">
        <v>954</v>
      </c>
      <c r="I741" s="582" t="str">
        <f>VLOOKUP(H741,'9a-Typen vloeren'!$A$10:$B$40,2,FALSE)</f>
        <v>zie kwaliteitsontwerp</v>
      </c>
      <c r="J741" s="433">
        <v>5</v>
      </c>
      <c r="K741" s="433">
        <f t="shared" si="55"/>
        <v>0</v>
      </c>
      <c r="L741" s="433">
        <f t="shared" si="56"/>
        <v>0</v>
      </c>
      <c r="M741" s="433">
        <f t="shared" si="57"/>
        <v>0</v>
      </c>
      <c r="N741" s="672"/>
      <c r="O741" s="729">
        <f>IF(N741="",0,N741*K741/'9b-Vloeronderhoud'!$F$4)</f>
        <v>0</v>
      </c>
      <c r="P741" s="672"/>
      <c r="Q741" s="729" t="e">
        <f>IF(O741="",0,P741*L741/'9b-Vloeronderhoud'!$F$6)</f>
        <v>#DIV/0!</v>
      </c>
      <c r="R741" s="449">
        <v>1</v>
      </c>
      <c r="S741" s="672">
        <v>190</v>
      </c>
      <c r="T741" s="161" t="e">
        <f t="shared" si="58"/>
        <v>#DIV/0!</v>
      </c>
      <c r="U741" s="162">
        <f>IF(S741="nio",0,IF(S741&gt;0,VLOOKUP(G741,'3-Productie normen'!A:K,VLOOKUP(S741,'3-Productie normen'!L:N,3,FALSE),FALSE)))</f>
        <v>0</v>
      </c>
      <c r="V741" s="162">
        <f>VLOOKUP(G741,'3-Productie normen'!A:K,10,FALSE)</f>
        <v>1859.5880019121171</v>
      </c>
      <c r="W741" s="163">
        <f>VLOOKUP(G741,'3-Productie normen'!A:K,11,FALSE)</f>
        <v>0</v>
      </c>
      <c r="X741" s="163"/>
      <c r="Z741" s="129">
        <f t="shared" si="59"/>
        <v>950</v>
      </c>
    </row>
    <row r="742" spans="1:26" ht="14.1" customHeight="1">
      <c r="A742" s="144">
        <v>748</v>
      </c>
      <c r="B742" s="160" t="s">
        <v>251</v>
      </c>
      <c r="C742" s="303" t="s">
        <v>743</v>
      </c>
      <c r="D742" s="304" t="s">
        <v>98</v>
      </c>
      <c r="E742" s="694" t="s">
        <v>408</v>
      </c>
      <c r="F742" s="303" t="s">
        <v>281</v>
      </c>
      <c r="G742" s="460" t="s">
        <v>881</v>
      </c>
      <c r="H742" s="303" t="s">
        <v>100</v>
      </c>
      <c r="I742" s="582" t="str">
        <f>VLOOKUP(H742,'9a-Typen vloeren'!$A$10:$B$40,2,FALSE)</f>
        <v>Sprayen/ conserveren</v>
      </c>
      <c r="J742" s="433">
        <v>4</v>
      </c>
      <c r="K742" s="433">
        <f t="shared" si="55"/>
        <v>0</v>
      </c>
      <c r="L742" s="433">
        <f t="shared" si="56"/>
        <v>0</v>
      </c>
      <c r="M742" s="433">
        <f t="shared" si="57"/>
        <v>0</v>
      </c>
      <c r="N742" s="672"/>
      <c r="O742" s="729">
        <f>IF(N742="",0,N742*K742/'9b-Vloeronderhoud'!$F$4)</f>
        <v>0</v>
      </c>
      <c r="P742" s="672"/>
      <c r="Q742" s="729" t="e">
        <f>IF(O742="",0,P742*L742/'9b-Vloeronderhoud'!$F$6)</f>
        <v>#DIV/0!</v>
      </c>
      <c r="R742" s="449">
        <v>1</v>
      </c>
      <c r="S742" s="672" t="s">
        <v>179</v>
      </c>
      <c r="T742" s="161">
        <f t="shared" si="58"/>
        <v>0</v>
      </c>
      <c r="U742" s="162">
        <f>IF(S742="nio",0,IF(S742&gt;0,VLOOKUP(G742,'3-Productie normen'!A:K,VLOOKUP(S742,'3-Productie normen'!L:N,3,FALSE),FALSE)))</f>
        <v>0</v>
      </c>
      <c r="V742" s="162">
        <f>VLOOKUP(G742,'3-Productie normen'!A:K,10,FALSE)</f>
        <v>5262.809993648526</v>
      </c>
      <c r="W742" s="163">
        <f>VLOOKUP(G742,'3-Productie normen'!A:K,11,FALSE)</f>
        <v>0</v>
      </c>
      <c r="X742" s="163"/>
      <c r="Z742" s="129">
        <f t="shared" si="59"/>
        <v>0</v>
      </c>
    </row>
    <row r="743" spans="1:26" ht="14.1" customHeight="1">
      <c r="A743" s="144">
        <v>749</v>
      </c>
      <c r="B743" s="160" t="s">
        <v>251</v>
      </c>
      <c r="C743" s="303" t="s">
        <v>743</v>
      </c>
      <c r="D743" s="304" t="s">
        <v>98</v>
      </c>
      <c r="E743" s="694" t="s">
        <v>414</v>
      </c>
      <c r="F743" s="303" t="s">
        <v>313</v>
      </c>
      <c r="G743" s="460" t="s">
        <v>881</v>
      </c>
      <c r="H743" s="303" t="s">
        <v>100</v>
      </c>
      <c r="I743" s="582" t="str">
        <f>VLOOKUP(H743,'9a-Typen vloeren'!$A$10:$B$40,2,FALSE)</f>
        <v>Sprayen/ conserveren</v>
      </c>
      <c r="J743" s="433">
        <v>7.1999998092651367</v>
      </c>
      <c r="K743" s="433">
        <f t="shared" si="55"/>
        <v>0</v>
      </c>
      <c r="L743" s="433">
        <f t="shared" si="56"/>
        <v>0</v>
      </c>
      <c r="M743" s="433">
        <f t="shared" si="57"/>
        <v>0</v>
      </c>
      <c r="N743" s="672"/>
      <c r="O743" s="729">
        <f>IF(N743="",0,N743*K743/'9b-Vloeronderhoud'!$F$4)</f>
        <v>0</v>
      </c>
      <c r="P743" s="672"/>
      <c r="Q743" s="729" t="e">
        <f>IF(O743="",0,P743*L743/'9b-Vloeronderhoud'!$F$6)</f>
        <v>#DIV/0!</v>
      </c>
      <c r="R743" s="449">
        <v>1</v>
      </c>
      <c r="S743" s="672" t="s">
        <v>179</v>
      </c>
      <c r="T743" s="161">
        <f t="shared" si="58"/>
        <v>0</v>
      </c>
      <c r="U743" s="162">
        <f>IF(S743="nio",0,IF(S743&gt;0,VLOOKUP(G743,'3-Productie normen'!A:K,VLOOKUP(S743,'3-Productie normen'!L:N,3,FALSE),FALSE)))</f>
        <v>0</v>
      </c>
      <c r="V743" s="162">
        <f>VLOOKUP(G743,'3-Productie normen'!A:K,10,FALSE)</f>
        <v>5262.809993648526</v>
      </c>
      <c r="W743" s="163">
        <f>VLOOKUP(G743,'3-Productie normen'!A:K,11,FALSE)</f>
        <v>0</v>
      </c>
      <c r="X743" s="163"/>
      <c r="Z743" s="129">
        <f t="shared" si="59"/>
        <v>0</v>
      </c>
    </row>
    <row r="744" spans="1:26" ht="14.1" customHeight="1">
      <c r="A744" s="144">
        <v>750</v>
      </c>
      <c r="B744" s="160" t="s">
        <v>251</v>
      </c>
      <c r="C744" s="303" t="s">
        <v>743</v>
      </c>
      <c r="D744" s="304" t="s">
        <v>98</v>
      </c>
      <c r="E744" s="694" t="s">
        <v>415</v>
      </c>
      <c r="F744" s="303" t="s">
        <v>556</v>
      </c>
      <c r="G744" s="303" t="s">
        <v>299</v>
      </c>
      <c r="H744" s="303" t="s">
        <v>332</v>
      </c>
      <c r="I744" s="582" t="str">
        <f>VLOOKUP(H744,'9a-Typen vloeren'!$A$10:$B$40,2,FALSE)</f>
        <v>Sproei/extraheren</v>
      </c>
      <c r="J744" s="433">
        <v>27.5</v>
      </c>
      <c r="K744" s="433">
        <f t="shared" si="55"/>
        <v>0</v>
      </c>
      <c r="L744" s="433">
        <f t="shared" si="56"/>
        <v>0</v>
      </c>
      <c r="M744" s="433">
        <f t="shared" si="57"/>
        <v>27.5</v>
      </c>
      <c r="N744" s="672"/>
      <c r="O744" s="729">
        <f>IF(N744="",0,N744*K744/'9b-Vloeronderhoud'!$F$4)</f>
        <v>0</v>
      </c>
      <c r="P744" s="672"/>
      <c r="Q744" s="729" t="e">
        <f>IF(O744="",0,P744*L744/'9b-Vloeronderhoud'!$F$6)</f>
        <v>#DIV/0!</v>
      </c>
      <c r="R744" s="449">
        <v>1</v>
      </c>
      <c r="S744" s="672">
        <v>40</v>
      </c>
      <c r="T744" s="161" t="e">
        <f t="shared" si="58"/>
        <v>#DIV/0!</v>
      </c>
      <c r="U744" s="162">
        <f>IF(S744="nio",0,IF(S744&gt;0,VLOOKUP(G744,'3-Productie normen'!A:K,VLOOKUP(S744,'3-Productie normen'!L:N,3,FALSE),FALSE)))</f>
        <v>0</v>
      </c>
      <c r="V744" s="162">
        <f>VLOOKUP(G744,'3-Productie normen'!A:K,10,FALSE)</f>
        <v>1107.9100014114381</v>
      </c>
      <c r="W744" s="163">
        <f>VLOOKUP(G744,'3-Productie normen'!A:K,11,FALSE)</f>
        <v>0</v>
      </c>
      <c r="X744" s="163"/>
      <c r="Z744" s="129">
        <f t="shared" si="59"/>
        <v>1100</v>
      </c>
    </row>
    <row r="745" spans="1:26" ht="14.1" customHeight="1">
      <c r="A745" s="144">
        <v>751</v>
      </c>
      <c r="B745" s="160" t="s">
        <v>251</v>
      </c>
      <c r="C745" s="303" t="s">
        <v>743</v>
      </c>
      <c r="D745" s="304" t="s">
        <v>98</v>
      </c>
      <c r="E745" s="694" t="s">
        <v>416</v>
      </c>
      <c r="F745" s="303" t="s">
        <v>297</v>
      </c>
      <c r="G745" s="460" t="s">
        <v>189</v>
      </c>
      <c r="H745" s="303" t="s">
        <v>332</v>
      </c>
      <c r="I745" s="582" t="str">
        <f>VLOOKUP(H745,'9a-Typen vloeren'!$A$10:$B$40,2,FALSE)</f>
        <v>Sproei/extraheren</v>
      </c>
      <c r="J745" s="433">
        <v>19.700000762939453</v>
      </c>
      <c r="K745" s="433">
        <f t="shared" si="55"/>
        <v>0</v>
      </c>
      <c r="L745" s="433">
        <f t="shared" si="56"/>
        <v>0</v>
      </c>
      <c r="M745" s="433">
        <f t="shared" si="57"/>
        <v>19.700000762939453</v>
      </c>
      <c r="N745" s="672"/>
      <c r="O745" s="729">
        <f>IF(N745="",0,N745*K745/'9b-Vloeronderhoud'!$F$4)</f>
        <v>0</v>
      </c>
      <c r="P745" s="672"/>
      <c r="Q745" s="729" t="e">
        <f>IF(O745="",0,P745*L745/'9b-Vloeronderhoud'!$F$6)</f>
        <v>#DIV/0!</v>
      </c>
      <c r="R745" s="449">
        <v>1</v>
      </c>
      <c r="S745" s="672">
        <v>40</v>
      </c>
      <c r="T745" s="161" t="e">
        <f t="shared" si="58"/>
        <v>#DIV/0!</v>
      </c>
      <c r="U745" s="162">
        <f>IF(S745="nio",0,IF(S745&gt;0,VLOOKUP(G745,'3-Productie normen'!A:K,VLOOKUP(S745,'3-Productie normen'!L:N,3,FALSE),FALSE)))</f>
        <v>0</v>
      </c>
      <c r="V745" s="162">
        <f>VLOOKUP(G745,'3-Productie normen'!A:K,10,FALSE)</f>
        <v>1494.1700078582762</v>
      </c>
      <c r="W745" s="163">
        <f>VLOOKUP(G745,'3-Productie normen'!A:K,11,FALSE)</f>
        <v>0</v>
      </c>
      <c r="X745" s="163"/>
      <c r="Z745" s="129">
        <f t="shared" si="59"/>
        <v>788.00003051757813</v>
      </c>
    </row>
    <row r="746" spans="1:26" ht="14.1" customHeight="1">
      <c r="A746" s="144">
        <v>752</v>
      </c>
      <c r="B746" s="160" t="s">
        <v>251</v>
      </c>
      <c r="C746" s="303" t="s">
        <v>743</v>
      </c>
      <c r="D746" s="304" t="s">
        <v>98</v>
      </c>
      <c r="E746" s="694" t="s">
        <v>417</v>
      </c>
      <c r="F746" s="303" t="s">
        <v>302</v>
      </c>
      <c r="G746" s="460" t="s">
        <v>18</v>
      </c>
      <c r="H746" s="534" t="s">
        <v>954</v>
      </c>
      <c r="I746" s="582" t="str">
        <f>VLOOKUP(H746,'9a-Typen vloeren'!$A$10:$B$40,2,FALSE)</f>
        <v>zie kwaliteitsontwerp</v>
      </c>
      <c r="J746" s="433">
        <v>5.1999998092651367</v>
      </c>
      <c r="K746" s="433">
        <f t="shared" si="55"/>
        <v>0</v>
      </c>
      <c r="L746" s="433">
        <f t="shared" si="56"/>
        <v>0</v>
      </c>
      <c r="M746" s="433">
        <f t="shared" si="57"/>
        <v>0</v>
      </c>
      <c r="N746" s="672"/>
      <c r="O746" s="729">
        <f>IF(N746="",0,N746*K746/'9b-Vloeronderhoud'!$F$4)</f>
        <v>0</v>
      </c>
      <c r="P746" s="672"/>
      <c r="Q746" s="729" t="e">
        <f>IF(O746="",0,P746*L746/'9b-Vloeronderhoud'!$F$6)</f>
        <v>#DIV/0!</v>
      </c>
      <c r="R746" s="449">
        <v>1</v>
      </c>
      <c r="S746" s="672">
        <v>190</v>
      </c>
      <c r="T746" s="161" t="e">
        <f t="shared" si="58"/>
        <v>#DIV/0!</v>
      </c>
      <c r="U746" s="162">
        <f>IF(S746="nio",0,IF(S746&gt;0,VLOOKUP(G746,'3-Productie normen'!A:K,VLOOKUP(S746,'3-Productie normen'!L:N,3,FALSE),FALSE)))</f>
        <v>0</v>
      </c>
      <c r="V746" s="162">
        <f>VLOOKUP(G746,'3-Productie normen'!A:K,10,FALSE)</f>
        <v>1859.5880019121171</v>
      </c>
      <c r="W746" s="163">
        <f>VLOOKUP(G746,'3-Productie normen'!A:K,11,FALSE)</f>
        <v>0</v>
      </c>
      <c r="X746" s="163"/>
      <c r="Z746" s="129">
        <f t="shared" si="59"/>
        <v>987.99996376037598</v>
      </c>
    </row>
    <row r="747" spans="1:26" ht="14.1" customHeight="1">
      <c r="A747" s="144">
        <v>753</v>
      </c>
      <c r="B747" s="160" t="s">
        <v>244</v>
      </c>
      <c r="C747" s="303" t="s">
        <v>673</v>
      </c>
      <c r="D747" s="304" t="s">
        <v>98</v>
      </c>
      <c r="E747" s="694" t="s">
        <v>294</v>
      </c>
      <c r="F747" s="303" t="s">
        <v>347</v>
      </c>
      <c r="G747" s="502" t="s">
        <v>347</v>
      </c>
      <c r="H747" s="303" t="s">
        <v>100</v>
      </c>
      <c r="I747" s="582" t="str">
        <f>VLOOKUP(H747,'9a-Typen vloeren'!$A$10:$B$40,2,FALSE)</f>
        <v>Sprayen/ conserveren</v>
      </c>
      <c r="J747" s="433">
        <v>81.349998474121094</v>
      </c>
      <c r="K747" s="433">
        <f t="shared" si="55"/>
        <v>81.349998474121094</v>
      </c>
      <c r="L747" s="433">
        <f t="shared" si="56"/>
        <v>0</v>
      </c>
      <c r="M747" s="433">
        <f t="shared" si="57"/>
        <v>0</v>
      </c>
      <c r="N747" s="672"/>
      <c r="O747" s="729">
        <f>IF(N747="",0,N747*K747/'9b-Vloeronderhoud'!$F$4)</f>
        <v>0</v>
      </c>
      <c r="P747" s="672"/>
      <c r="Q747" s="729" t="e">
        <f>IF(O747="",0,P747*L747/'9b-Vloeronderhoud'!$F$6)</f>
        <v>#DIV/0!</v>
      </c>
      <c r="R747" s="449">
        <v>1</v>
      </c>
      <c r="S747" s="672">
        <v>44</v>
      </c>
      <c r="T747" s="161" t="e">
        <f t="shared" si="58"/>
        <v>#DIV/0!</v>
      </c>
      <c r="U747" s="162">
        <f>IF(S747="nio",0,IF(S747&gt;0,VLOOKUP(G747,'3-Productie normen'!A:K,VLOOKUP(S747,'3-Productie normen'!L:N,3,FALSE),FALSE)))</f>
        <v>0</v>
      </c>
      <c r="V747" s="162">
        <f>VLOOKUP(G747,'3-Productie normen'!A:K,10,FALSE)</f>
        <v>1134.6299961853026</v>
      </c>
      <c r="W747" s="163">
        <f>VLOOKUP(G747,'3-Productie normen'!A:K,11,FALSE)</f>
        <v>0</v>
      </c>
      <c r="X747" s="163"/>
      <c r="Z747" s="129">
        <f t="shared" si="59"/>
        <v>3579.3999328613281</v>
      </c>
    </row>
    <row r="748" spans="1:26" ht="14.1" customHeight="1">
      <c r="A748" s="144">
        <v>754</v>
      </c>
      <c r="B748" s="160" t="s">
        <v>244</v>
      </c>
      <c r="C748" s="303" t="s">
        <v>673</v>
      </c>
      <c r="D748" s="304" t="s">
        <v>98</v>
      </c>
      <c r="E748" s="694" t="s">
        <v>653</v>
      </c>
      <c r="F748" s="303" t="s">
        <v>348</v>
      </c>
      <c r="G748" s="460" t="s">
        <v>881</v>
      </c>
      <c r="H748" s="303" t="s">
        <v>100</v>
      </c>
      <c r="I748" s="582" t="str">
        <f>VLOOKUP(H748,'9a-Typen vloeren'!$A$10:$B$40,2,FALSE)</f>
        <v>Sprayen/ conserveren</v>
      </c>
      <c r="J748" s="433">
        <v>7.3499999046325684</v>
      </c>
      <c r="K748" s="433">
        <f t="shared" si="55"/>
        <v>0</v>
      </c>
      <c r="L748" s="433">
        <f t="shared" si="56"/>
        <v>0</v>
      </c>
      <c r="M748" s="433">
        <f t="shared" si="57"/>
        <v>0</v>
      </c>
      <c r="N748" s="672"/>
      <c r="O748" s="729">
        <f>IF(N748="",0,N748*K748/'9b-Vloeronderhoud'!$F$4)</f>
        <v>0</v>
      </c>
      <c r="P748" s="672"/>
      <c r="Q748" s="729" t="e">
        <f>IF(O748="",0,P748*L748/'9b-Vloeronderhoud'!$F$6)</f>
        <v>#DIV/0!</v>
      </c>
      <c r="R748" s="449">
        <v>1</v>
      </c>
      <c r="S748" s="672" t="s">
        <v>179</v>
      </c>
      <c r="T748" s="161">
        <f t="shared" si="58"/>
        <v>0</v>
      </c>
      <c r="U748" s="162">
        <f>IF(S748="nio",0,IF(S748&gt;0,VLOOKUP(G748,'3-Productie normen'!A:K,VLOOKUP(S748,'3-Productie normen'!L:N,3,FALSE),FALSE)))</f>
        <v>0</v>
      </c>
      <c r="V748" s="162">
        <f>VLOOKUP(G748,'3-Productie normen'!A:K,10,FALSE)</f>
        <v>5262.809993648526</v>
      </c>
      <c r="W748" s="163">
        <f>VLOOKUP(G748,'3-Productie normen'!A:K,11,FALSE)</f>
        <v>0</v>
      </c>
      <c r="X748" s="163"/>
      <c r="Z748" s="129">
        <f t="shared" si="59"/>
        <v>0</v>
      </c>
    </row>
    <row r="749" spans="1:26" ht="14.1" customHeight="1">
      <c r="A749" s="144">
        <v>755</v>
      </c>
      <c r="B749" s="160" t="s">
        <v>244</v>
      </c>
      <c r="C749" s="303" t="s">
        <v>673</v>
      </c>
      <c r="D749" s="304" t="s">
        <v>98</v>
      </c>
      <c r="E749" s="694" t="s">
        <v>295</v>
      </c>
      <c r="F749" s="303" t="s">
        <v>285</v>
      </c>
      <c r="G749" s="122" t="s">
        <v>285</v>
      </c>
      <c r="H749" s="303" t="s">
        <v>100</v>
      </c>
      <c r="I749" s="582" t="str">
        <f>VLOOKUP(H749,'9a-Typen vloeren'!$A$10:$B$40,2,FALSE)</f>
        <v>Sprayen/ conserveren</v>
      </c>
      <c r="J749" s="433">
        <v>42.400001525878906</v>
      </c>
      <c r="K749" s="433">
        <f t="shared" si="55"/>
        <v>42.400001525878906</v>
      </c>
      <c r="L749" s="433">
        <f t="shared" si="56"/>
        <v>0</v>
      </c>
      <c r="M749" s="433">
        <f t="shared" si="57"/>
        <v>0</v>
      </c>
      <c r="N749" s="672"/>
      <c r="O749" s="729">
        <f>IF(N749="",0,N749*K749/'9b-Vloeronderhoud'!$F$4)</f>
        <v>0</v>
      </c>
      <c r="P749" s="672"/>
      <c r="Q749" s="729" t="e">
        <f>IF(O749="",0,P749*L749/'9b-Vloeronderhoud'!$F$6)</f>
        <v>#DIV/0!</v>
      </c>
      <c r="R749" s="449">
        <v>1</v>
      </c>
      <c r="S749" s="672">
        <v>190</v>
      </c>
      <c r="T749" s="161" t="e">
        <f t="shared" si="58"/>
        <v>#DIV/0!</v>
      </c>
      <c r="U749" s="162">
        <f>IF(S749="nio",0,IF(S749&gt;0,VLOOKUP(G749,'3-Productie normen'!A:K,VLOOKUP(S749,'3-Productie normen'!L:N,3,FALSE),FALSE)))</f>
        <v>0</v>
      </c>
      <c r="V749" s="162">
        <f>VLOOKUP(G749,'3-Productie normen'!A:K,10,FALSE)</f>
        <v>3305.8200070953367</v>
      </c>
      <c r="W749" s="163">
        <f>VLOOKUP(G749,'3-Productie normen'!A:K,11,FALSE)</f>
        <v>0</v>
      </c>
      <c r="X749" s="163"/>
      <c r="Z749" s="129">
        <f t="shared" si="59"/>
        <v>8056.0002899169922</v>
      </c>
    </row>
    <row r="750" spans="1:26" ht="14.1" customHeight="1">
      <c r="A750" s="144">
        <v>756</v>
      </c>
      <c r="B750" s="160" t="s">
        <v>244</v>
      </c>
      <c r="C750" s="303" t="s">
        <v>673</v>
      </c>
      <c r="D750" s="304" t="s">
        <v>98</v>
      </c>
      <c r="E750" s="694" t="s">
        <v>654</v>
      </c>
      <c r="F750" s="303" t="s">
        <v>551</v>
      </c>
      <c r="G750" s="122" t="s">
        <v>285</v>
      </c>
      <c r="H750" s="303" t="s">
        <v>101</v>
      </c>
      <c r="I750" s="582" t="str">
        <f>VLOOKUP(H750,'9a-Typen vloeren'!$A$10:$B$40,2,FALSE)</f>
        <v>Schrobben</v>
      </c>
      <c r="J750" s="433">
        <v>12</v>
      </c>
      <c r="K750" s="433">
        <f t="shared" si="55"/>
        <v>0</v>
      </c>
      <c r="L750" s="433">
        <f t="shared" si="56"/>
        <v>12</v>
      </c>
      <c r="M750" s="433">
        <f t="shared" si="57"/>
        <v>0</v>
      </c>
      <c r="N750" s="672"/>
      <c r="O750" s="729">
        <f>IF(N750="",0,N750*K750/'9b-Vloeronderhoud'!$F$4)</f>
        <v>0</v>
      </c>
      <c r="P750" s="672"/>
      <c r="Q750" s="729" t="e">
        <f>IF(O750="",0,P750*L750/'9b-Vloeronderhoud'!$F$6)</f>
        <v>#DIV/0!</v>
      </c>
      <c r="R750" s="449">
        <v>1</v>
      </c>
      <c r="S750" s="672">
        <v>190</v>
      </c>
      <c r="T750" s="161" t="e">
        <f t="shared" si="58"/>
        <v>#DIV/0!</v>
      </c>
      <c r="U750" s="162">
        <f>IF(S750="nio",0,IF(S750&gt;0,VLOOKUP(G750,'3-Productie normen'!A:K,VLOOKUP(S750,'3-Productie normen'!L:N,3,FALSE),FALSE)))</f>
        <v>0</v>
      </c>
      <c r="V750" s="162">
        <f>VLOOKUP(G750,'3-Productie normen'!A:K,10,FALSE)</f>
        <v>3305.8200070953367</v>
      </c>
      <c r="W750" s="163">
        <f>VLOOKUP(G750,'3-Productie normen'!A:K,11,FALSE)</f>
        <v>0</v>
      </c>
      <c r="X750" s="163"/>
      <c r="Z750" s="129">
        <f t="shared" si="59"/>
        <v>2280</v>
      </c>
    </row>
    <row r="751" spans="1:26" ht="14.1" customHeight="1">
      <c r="A751" s="144">
        <v>757</v>
      </c>
      <c r="B751" s="160" t="s">
        <v>244</v>
      </c>
      <c r="C751" s="303" t="s">
        <v>673</v>
      </c>
      <c r="D751" s="304" t="s">
        <v>98</v>
      </c>
      <c r="E751" s="694" t="s">
        <v>296</v>
      </c>
      <c r="F751" s="303" t="s">
        <v>285</v>
      </c>
      <c r="G751" s="122" t="s">
        <v>285</v>
      </c>
      <c r="H751" s="303" t="s">
        <v>100</v>
      </c>
      <c r="I751" s="582" t="str">
        <f>VLOOKUP(H751,'9a-Typen vloeren'!$A$10:$B$40,2,FALSE)</f>
        <v>Sprayen/ conserveren</v>
      </c>
      <c r="J751" s="433">
        <v>41.400001525878906</v>
      </c>
      <c r="K751" s="433">
        <f t="shared" si="55"/>
        <v>41.400001525878906</v>
      </c>
      <c r="L751" s="433">
        <f t="shared" si="56"/>
        <v>0</v>
      </c>
      <c r="M751" s="433">
        <f t="shared" si="57"/>
        <v>0</v>
      </c>
      <c r="N751" s="672"/>
      <c r="O751" s="729">
        <f>IF(N751="",0,N751*K751/'9b-Vloeronderhoud'!$F$4)</f>
        <v>0</v>
      </c>
      <c r="P751" s="672"/>
      <c r="Q751" s="729" t="e">
        <f>IF(O751="",0,P751*L751/'9b-Vloeronderhoud'!$F$6)</f>
        <v>#DIV/0!</v>
      </c>
      <c r="R751" s="449">
        <v>1</v>
      </c>
      <c r="S751" s="672">
        <v>190</v>
      </c>
      <c r="T751" s="161" t="e">
        <f t="shared" si="58"/>
        <v>#DIV/0!</v>
      </c>
      <c r="U751" s="162">
        <f>IF(S751="nio",0,IF(S751&gt;0,VLOOKUP(G751,'3-Productie normen'!A:K,VLOOKUP(S751,'3-Productie normen'!L:N,3,FALSE),FALSE)))</f>
        <v>0</v>
      </c>
      <c r="V751" s="162">
        <f>VLOOKUP(G751,'3-Productie normen'!A:K,10,FALSE)</f>
        <v>3305.8200070953367</v>
      </c>
      <c r="W751" s="163">
        <f>VLOOKUP(G751,'3-Productie normen'!A:K,11,FALSE)</f>
        <v>0</v>
      </c>
      <c r="X751" s="163"/>
      <c r="Z751" s="129">
        <f t="shared" si="59"/>
        <v>7866.0002899169922</v>
      </c>
    </row>
    <row r="752" spans="1:26" ht="14.1" customHeight="1">
      <c r="A752" s="144">
        <v>758</v>
      </c>
      <c r="B752" s="160" t="s">
        <v>244</v>
      </c>
      <c r="C752" s="303" t="s">
        <v>673</v>
      </c>
      <c r="D752" s="304" t="s">
        <v>98</v>
      </c>
      <c r="E752" s="694" t="s">
        <v>655</v>
      </c>
      <c r="F752" s="303" t="s">
        <v>344</v>
      </c>
      <c r="G752" s="122" t="s">
        <v>221</v>
      </c>
      <c r="H752" s="303" t="s">
        <v>101</v>
      </c>
      <c r="I752" s="582" t="str">
        <f>VLOOKUP(H752,'9a-Typen vloeren'!$A$10:$B$40,2,FALSE)</f>
        <v>Schrobben</v>
      </c>
      <c r="J752" s="433">
        <v>12</v>
      </c>
      <c r="K752" s="433">
        <f t="shared" si="55"/>
        <v>0</v>
      </c>
      <c r="L752" s="433">
        <f t="shared" si="56"/>
        <v>12</v>
      </c>
      <c r="M752" s="433">
        <f t="shared" si="57"/>
        <v>0</v>
      </c>
      <c r="N752" s="672"/>
      <c r="O752" s="729">
        <f>IF(N752="",0,N752*K752/'9b-Vloeronderhoud'!$F$4)</f>
        <v>0</v>
      </c>
      <c r="P752" s="672"/>
      <c r="Q752" s="729" t="e">
        <f>IF(O752="",0,P752*L752/'9b-Vloeronderhoud'!$F$6)</f>
        <v>#DIV/0!</v>
      </c>
      <c r="R752" s="449">
        <v>1</v>
      </c>
      <c r="S752" s="672">
        <v>80</v>
      </c>
      <c r="T752" s="161" t="e">
        <f t="shared" si="58"/>
        <v>#DIV/0!</v>
      </c>
      <c r="U752" s="162">
        <f>IF(S752="nio",0,IF(S752&gt;0,VLOOKUP(G752,'3-Productie normen'!A:K,VLOOKUP(S752,'3-Productie normen'!L:N,3,FALSE),FALSE)))</f>
        <v>0</v>
      </c>
      <c r="V752" s="162">
        <f>VLOOKUP(G752,'3-Productie normen'!A:K,10,FALSE)</f>
        <v>16013.110036668773</v>
      </c>
      <c r="W752" s="163">
        <f>VLOOKUP(G752,'3-Productie normen'!A:K,11,FALSE)</f>
        <v>0</v>
      </c>
      <c r="X752" s="163"/>
      <c r="Z752" s="129">
        <f t="shared" si="59"/>
        <v>960</v>
      </c>
    </row>
    <row r="753" spans="1:26" ht="14.1" customHeight="1">
      <c r="A753" s="144">
        <v>759</v>
      </c>
      <c r="B753" s="160" t="s">
        <v>244</v>
      </c>
      <c r="C753" s="303" t="s">
        <v>673</v>
      </c>
      <c r="D753" s="304" t="s">
        <v>98</v>
      </c>
      <c r="E753" s="694" t="s">
        <v>298</v>
      </c>
      <c r="F753" s="303" t="s">
        <v>285</v>
      </c>
      <c r="G753" s="122" t="s">
        <v>285</v>
      </c>
      <c r="H753" s="303" t="s">
        <v>100</v>
      </c>
      <c r="I753" s="582" t="str">
        <f>VLOOKUP(H753,'9a-Typen vloeren'!$A$10:$B$40,2,FALSE)</f>
        <v>Sprayen/ conserveren</v>
      </c>
      <c r="J753" s="433">
        <v>41.400001525878906</v>
      </c>
      <c r="K753" s="433">
        <f t="shared" si="55"/>
        <v>41.400001525878906</v>
      </c>
      <c r="L753" s="433">
        <f t="shared" si="56"/>
        <v>0</v>
      </c>
      <c r="M753" s="433">
        <f t="shared" si="57"/>
        <v>0</v>
      </c>
      <c r="N753" s="672"/>
      <c r="O753" s="729">
        <f>IF(N753="",0,N753*K753/'9b-Vloeronderhoud'!$F$4)</f>
        <v>0</v>
      </c>
      <c r="P753" s="672"/>
      <c r="Q753" s="729" t="e">
        <f>IF(O753="",0,P753*L753/'9b-Vloeronderhoud'!$F$6)</f>
        <v>#DIV/0!</v>
      </c>
      <c r="R753" s="449">
        <v>1</v>
      </c>
      <c r="S753" s="672">
        <v>190</v>
      </c>
      <c r="T753" s="161" t="e">
        <f t="shared" si="58"/>
        <v>#DIV/0!</v>
      </c>
      <c r="U753" s="162">
        <f>IF(S753="nio",0,IF(S753&gt;0,VLOOKUP(G753,'3-Productie normen'!A:K,VLOOKUP(S753,'3-Productie normen'!L:N,3,FALSE),FALSE)))</f>
        <v>0</v>
      </c>
      <c r="V753" s="162">
        <f>VLOOKUP(G753,'3-Productie normen'!A:K,10,FALSE)</f>
        <v>3305.8200070953367</v>
      </c>
      <c r="W753" s="163">
        <f>VLOOKUP(G753,'3-Productie normen'!A:K,11,FALSE)</f>
        <v>0</v>
      </c>
      <c r="X753" s="163"/>
      <c r="Z753" s="129">
        <f t="shared" si="59"/>
        <v>7866.0002899169922</v>
      </c>
    </row>
    <row r="754" spans="1:26" ht="14.1" customHeight="1">
      <c r="A754" s="144">
        <v>760</v>
      </c>
      <c r="B754" s="160" t="s">
        <v>244</v>
      </c>
      <c r="C754" s="303" t="s">
        <v>673</v>
      </c>
      <c r="D754" s="304" t="s">
        <v>98</v>
      </c>
      <c r="E754" s="694" t="s">
        <v>300</v>
      </c>
      <c r="F754" s="303" t="s">
        <v>344</v>
      </c>
      <c r="G754" s="460" t="s">
        <v>221</v>
      </c>
      <c r="H754" s="303" t="s">
        <v>101</v>
      </c>
      <c r="I754" s="582" t="str">
        <f>VLOOKUP(H754,'9a-Typen vloeren'!$A$10:$B$40,2,FALSE)</f>
        <v>Schrobben</v>
      </c>
      <c r="J754" s="433">
        <v>12</v>
      </c>
      <c r="K754" s="433">
        <f t="shared" si="55"/>
        <v>0</v>
      </c>
      <c r="L754" s="433">
        <f t="shared" si="56"/>
        <v>12</v>
      </c>
      <c r="M754" s="433">
        <f t="shared" si="57"/>
        <v>0</v>
      </c>
      <c r="N754" s="672"/>
      <c r="O754" s="729">
        <f>IF(N754="",0,N754*K754/'9b-Vloeronderhoud'!$F$4)</f>
        <v>0</v>
      </c>
      <c r="P754" s="672"/>
      <c r="Q754" s="729" t="e">
        <f>IF(O754="",0,P754*L754/'9b-Vloeronderhoud'!$F$6)</f>
        <v>#DIV/0!</v>
      </c>
      <c r="R754" s="449">
        <v>1</v>
      </c>
      <c r="S754" s="672">
        <v>80</v>
      </c>
      <c r="T754" s="161" t="e">
        <f t="shared" si="58"/>
        <v>#DIV/0!</v>
      </c>
      <c r="U754" s="162">
        <f>IF(S754="nio",0,IF(S754&gt;0,VLOOKUP(G754,'3-Productie normen'!A:K,VLOOKUP(S754,'3-Productie normen'!L:N,3,FALSE),FALSE)))</f>
        <v>0</v>
      </c>
      <c r="V754" s="162">
        <f>VLOOKUP(G754,'3-Productie normen'!A:K,10,FALSE)</f>
        <v>16013.110036668773</v>
      </c>
      <c r="W754" s="163">
        <f>VLOOKUP(G754,'3-Productie normen'!A:K,11,FALSE)</f>
        <v>0</v>
      </c>
      <c r="X754" s="163"/>
      <c r="Z754" s="129">
        <f t="shared" si="59"/>
        <v>960</v>
      </c>
    </row>
    <row r="755" spans="1:26" ht="14.1" customHeight="1">
      <c r="A755" s="144">
        <v>761</v>
      </c>
      <c r="B755" s="160" t="s">
        <v>244</v>
      </c>
      <c r="C755" s="303" t="s">
        <v>673</v>
      </c>
      <c r="D755" s="304" t="s">
        <v>98</v>
      </c>
      <c r="E755" s="694" t="s">
        <v>301</v>
      </c>
      <c r="F755" s="303" t="s">
        <v>221</v>
      </c>
      <c r="G755" s="460" t="s">
        <v>221</v>
      </c>
      <c r="H755" s="303" t="s">
        <v>100</v>
      </c>
      <c r="I755" s="582" t="str">
        <f>VLOOKUP(H755,'9a-Typen vloeren'!$A$10:$B$40,2,FALSE)</f>
        <v>Sprayen/ conserveren</v>
      </c>
      <c r="J755" s="433">
        <v>54.400001525878906</v>
      </c>
      <c r="K755" s="433">
        <f t="shared" si="55"/>
        <v>54.400001525878906</v>
      </c>
      <c r="L755" s="433">
        <f t="shared" si="56"/>
        <v>0</v>
      </c>
      <c r="M755" s="433">
        <f t="shared" si="57"/>
        <v>0</v>
      </c>
      <c r="N755" s="672"/>
      <c r="O755" s="729">
        <f>IF(N755="",0,N755*K755/'9b-Vloeronderhoud'!$F$4)</f>
        <v>0</v>
      </c>
      <c r="P755" s="672"/>
      <c r="Q755" s="729" t="e">
        <f>IF(O755="",0,P755*L755/'9b-Vloeronderhoud'!$F$6)</f>
        <v>#DIV/0!</v>
      </c>
      <c r="R755" s="449">
        <v>1</v>
      </c>
      <c r="S755" s="688" t="s">
        <v>179</v>
      </c>
      <c r="T755" s="161">
        <f t="shared" si="58"/>
        <v>0</v>
      </c>
      <c r="U755" s="162">
        <f>IF(S755="nio",0,IF(S755&gt;0,VLOOKUP(G755,'3-Productie normen'!A:K,VLOOKUP(S755,'3-Productie normen'!L:N,3,FALSE),FALSE)))</f>
        <v>0</v>
      </c>
      <c r="V755" s="162">
        <f>VLOOKUP(G755,'3-Productie normen'!A:K,10,FALSE)</f>
        <v>16013.110036668773</v>
      </c>
      <c r="W755" s="163">
        <f>VLOOKUP(G755,'3-Productie normen'!A:K,11,FALSE)</f>
        <v>0</v>
      </c>
      <c r="X755" s="163"/>
      <c r="Z755" s="129">
        <f t="shared" si="59"/>
        <v>0</v>
      </c>
    </row>
    <row r="756" spans="1:26" ht="14.1" customHeight="1">
      <c r="A756" s="144">
        <v>762</v>
      </c>
      <c r="B756" s="160" t="s">
        <v>244</v>
      </c>
      <c r="C756" s="303" t="s">
        <v>673</v>
      </c>
      <c r="D756" s="304" t="s">
        <v>98</v>
      </c>
      <c r="E756" s="694" t="s">
        <v>303</v>
      </c>
      <c r="F756" s="303" t="s">
        <v>221</v>
      </c>
      <c r="G756" s="460" t="s">
        <v>221</v>
      </c>
      <c r="H756" s="303" t="s">
        <v>100</v>
      </c>
      <c r="I756" s="582" t="str">
        <f>VLOOKUP(H756,'9a-Typen vloeren'!$A$10:$B$40,2,FALSE)</f>
        <v>Sprayen/ conserveren</v>
      </c>
      <c r="J756" s="433">
        <v>54.400001525878906</v>
      </c>
      <c r="K756" s="433">
        <f t="shared" si="55"/>
        <v>54.400001525878906</v>
      </c>
      <c r="L756" s="433">
        <f t="shared" si="56"/>
        <v>0</v>
      </c>
      <c r="M756" s="433">
        <f t="shared" si="57"/>
        <v>0</v>
      </c>
      <c r="N756" s="672"/>
      <c r="O756" s="729">
        <f>IF(N756="",0,N756*K756/'9b-Vloeronderhoud'!$F$4)</f>
        <v>0</v>
      </c>
      <c r="P756" s="672"/>
      <c r="Q756" s="729" t="e">
        <f>IF(O756="",0,P756*L756/'9b-Vloeronderhoud'!$F$6)</f>
        <v>#DIV/0!</v>
      </c>
      <c r="R756" s="449">
        <v>1</v>
      </c>
      <c r="S756" s="688" t="s">
        <v>179</v>
      </c>
      <c r="T756" s="161">
        <f t="shared" si="58"/>
        <v>0</v>
      </c>
      <c r="U756" s="162">
        <f>IF(S756="nio",0,IF(S756&gt;0,VLOOKUP(G756,'3-Productie normen'!A:K,VLOOKUP(S756,'3-Productie normen'!L:N,3,FALSE),FALSE)))</f>
        <v>0</v>
      </c>
      <c r="V756" s="162">
        <f>VLOOKUP(G756,'3-Productie normen'!A:K,10,FALSE)</f>
        <v>16013.110036668773</v>
      </c>
      <c r="W756" s="163">
        <f>VLOOKUP(G756,'3-Productie normen'!A:K,11,FALSE)</f>
        <v>0</v>
      </c>
      <c r="X756" s="163"/>
      <c r="Z756" s="129">
        <f t="shared" si="59"/>
        <v>0</v>
      </c>
    </row>
    <row r="757" spans="1:26" ht="14.1" customHeight="1">
      <c r="A757" s="144">
        <v>763</v>
      </c>
      <c r="B757" s="160" t="s">
        <v>244</v>
      </c>
      <c r="C757" s="303" t="s">
        <v>673</v>
      </c>
      <c r="D757" s="304" t="s">
        <v>98</v>
      </c>
      <c r="E757" s="694" t="s">
        <v>305</v>
      </c>
      <c r="F757" s="303" t="s">
        <v>350</v>
      </c>
      <c r="G757" s="546" t="s">
        <v>299</v>
      </c>
      <c r="H757" s="303" t="s">
        <v>100</v>
      </c>
      <c r="I757" s="582" t="str">
        <f>VLOOKUP(H757,'9a-Typen vloeren'!$A$10:$B$40,2,FALSE)</f>
        <v>Sprayen/ conserveren</v>
      </c>
      <c r="J757" s="433">
        <v>54.400001525878906</v>
      </c>
      <c r="K757" s="433">
        <f t="shared" si="55"/>
        <v>54.400001525878906</v>
      </c>
      <c r="L757" s="433">
        <f t="shared" si="56"/>
        <v>0</v>
      </c>
      <c r="M757" s="433">
        <f t="shared" si="57"/>
        <v>0</v>
      </c>
      <c r="N757" s="672"/>
      <c r="O757" s="729">
        <f>IF(N757="",0,N757*K757/'9b-Vloeronderhoud'!$F$4)</f>
        <v>0</v>
      </c>
      <c r="P757" s="672"/>
      <c r="Q757" s="729" t="e">
        <f>IF(O757="",0,P757*L757/'9b-Vloeronderhoud'!$F$6)</f>
        <v>#DIV/0!</v>
      </c>
      <c r="R757" s="449">
        <v>1</v>
      </c>
      <c r="S757" s="672">
        <v>40</v>
      </c>
      <c r="T757" s="161" t="e">
        <f t="shared" si="58"/>
        <v>#DIV/0!</v>
      </c>
      <c r="U757" s="162">
        <f>IF(S757="nio",0,IF(S757&gt;0,VLOOKUP(G757,'3-Productie normen'!A:K,VLOOKUP(S757,'3-Productie normen'!L:N,3,FALSE),FALSE)))</f>
        <v>0</v>
      </c>
      <c r="V757" s="162">
        <f>VLOOKUP(G757,'3-Productie normen'!A:K,10,FALSE)</f>
        <v>1107.9100014114381</v>
      </c>
      <c r="W757" s="163">
        <f>VLOOKUP(G757,'3-Productie normen'!A:K,11,FALSE)</f>
        <v>0</v>
      </c>
      <c r="X757" s="163"/>
      <c r="Z757" s="129">
        <f t="shared" si="59"/>
        <v>2176.0000610351563</v>
      </c>
    </row>
    <row r="758" spans="1:26" ht="14.1" customHeight="1">
      <c r="A758" s="144">
        <v>764</v>
      </c>
      <c r="B758" s="160" t="s">
        <v>244</v>
      </c>
      <c r="C758" s="303" t="s">
        <v>673</v>
      </c>
      <c r="D758" s="304" t="s">
        <v>98</v>
      </c>
      <c r="E758" s="694" t="s">
        <v>306</v>
      </c>
      <c r="F758" s="303" t="s">
        <v>221</v>
      </c>
      <c r="G758" s="122" t="s">
        <v>221</v>
      </c>
      <c r="H758" s="303" t="s">
        <v>100</v>
      </c>
      <c r="I758" s="582" t="str">
        <f>VLOOKUP(H758,'9a-Typen vloeren'!$A$10:$B$40,2,FALSE)</f>
        <v>Sprayen/ conserveren</v>
      </c>
      <c r="J758" s="433">
        <v>54.400001525878906</v>
      </c>
      <c r="K758" s="433">
        <f t="shared" si="55"/>
        <v>54.400001525878906</v>
      </c>
      <c r="L758" s="433">
        <f t="shared" si="56"/>
        <v>0</v>
      </c>
      <c r="M758" s="433">
        <f t="shared" si="57"/>
        <v>0</v>
      </c>
      <c r="N758" s="672"/>
      <c r="O758" s="729">
        <f>IF(N758="",0,N758*K758/'9b-Vloeronderhoud'!$F$4)</f>
        <v>0</v>
      </c>
      <c r="P758" s="672"/>
      <c r="Q758" s="729" t="e">
        <f>IF(O758="",0,P758*L758/'9b-Vloeronderhoud'!$F$6)</f>
        <v>#DIV/0!</v>
      </c>
      <c r="R758" s="449">
        <v>1</v>
      </c>
      <c r="S758" s="688" t="s">
        <v>179</v>
      </c>
      <c r="T758" s="161">
        <f t="shared" si="58"/>
        <v>0</v>
      </c>
      <c r="U758" s="162">
        <f>IF(S758="nio",0,IF(S758&gt;0,VLOOKUP(G758,'3-Productie normen'!A:K,VLOOKUP(S758,'3-Productie normen'!L:N,3,FALSE),FALSE)))</f>
        <v>0</v>
      </c>
      <c r="V758" s="162">
        <f>VLOOKUP(G758,'3-Productie normen'!A:K,10,FALSE)</f>
        <v>16013.110036668773</v>
      </c>
      <c r="W758" s="163">
        <f>VLOOKUP(G758,'3-Productie normen'!A:K,11,FALSE)</f>
        <v>0</v>
      </c>
      <c r="X758" s="163"/>
      <c r="Z758" s="129">
        <f t="shared" si="59"/>
        <v>0</v>
      </c>
    </row>
    <row r="759" spans="1:26" ht="14.1" customHeight="1">
      <c r="A759" s="144">
        <v>765</v>
      </c>
      <c r="B759" s="160" t="s">
        <v>244</v>
      </c>
      <c r="C759" s="303" t="s">
        <v>673</v>
      </c>
      <c r="D759" s="304" t="s">
        <v>98</v>
      </c>
      <c r="E759" s="694" t="s">
        <v>307</v>
      </c>
      <c r="F759" s="303" t="s">
        <v>470</v>
      </c>
      <c r="G759" s="533" t="s">
        <v>221</v>
      </c>
      <c r="H759" s="303" t="s">
        <v>100</v>
      </c>
      <c r="I759" s="582" t="str">
        <f>VLOOKUP(H759,'9a-Typen vloeren'!$A$10:$B$40,2,FALSE)</f>
        <v>Sprayen/ conserveren</v>
      </c>
      <c r="J759" s="433">
        <v>54.400001525878906</v>
      </c>
      <c r="K759" s="433">
        <f t="shared" si="55"/>
        <v>54.400001525878906</v>
      </c>
      <c r="L759" s="433">
        <f t="shared" si="56"/>
        <v>0</v>
      </c>
      <c r="M759" s="433">
        <f t="shared" si="57"/>
        <v>0</v>
      </c>
      <c r="N759" s="672"/>
      <c r="O759" s="729">
        <f>IF(N759="",0,N759*K759/'9b-Vloeronderhoud'!$F$4)</f>
        <v>0</v>
      </c>
      <c r="P759" s="672"/>
      <c r="Q759" s="729" t="e">
        <f>IF(O759="",0,P759*L759/'9b-Vloeronderhoud'!$F$6)</f>
        <v>#DIV/0!</v>
      </c>
      <c r="R759" s="449">
        <v>1</v>
      </c>
      <c r="S759" s="688" t="s">
        <v>179</v>
      </c>
      <c r="T759" s="161">
        <f t="shared" si="58"/>
        <v>0</v>
      </c>
      <c r="U759" s="162">
        <f>IF(S759="nio",0,IF(S759&gt;0,VLOOKUP(G759,'3-Productie normen'!A:K,VLOOKUP(S759,'3-Productie normen'!L:N,3,FALSE),FALSE)))</f>
        <v>0</v>
      </c>
      <c r="V759" s="162">
        <f>VLOOKUP(G759,'3-Productie normen'!A:K,10,FALSE)</f>
        <v>16013.110036668773</v>
      </c>
      <c r="W759" s="163">
        <f>VLOOKUP(G759,'3-Productie normen'!A:K,11,FALSE)</f>
        <v>0</v>
      </c>
      <c r="X759" s="163"/>
      <c r="Z759" s="129">
        <f t="shared" si="59"/>
        <v>0</v>
      </c>
    </row>
    <row r="760" spans="1:26" ht="14.1" customHeight="1">
      <c r="A760" s="144">
        <v>766</v>
      </c>
      <c r="B760" s="160" t="s">
        <v>244</v>
      </c>
      <c r="C760" s="303" t="s">
        <v>673</v>
      </c>
      <c r="D760" s="304" t="s">
        <v>98</v>
      </c>
      <c r="E760" s="694" t="s">
        <v>309</v>
      </c>
      <c r="F760" s="303" t="s">
        <v>656</v>
      </c>
      <c r="G760" s="122" t="s">
        <v>279</v>
      </c>
      <c r="H760" s="303" t="s">
        <v>375</v>
      </c>
      <c r="I760" s="582" t="str">
        <f>VLOOKUP(H760,'9a-Typen vloeren'!$A$10:$B$40,2,FALSE)</f>
        <v>n.v.t.</v>
      </c>
      <c r="J760" s="433">
        <v>54.400001525878906</v>
      </c>
      <c r="K760" s="433">
        <f t="shared" si="55"/>
        <v>0</v>
      </c>
      <c r="L760" s="433">
        <f t="shared" si="56"/>
        <v>0</v>
      </c>
      <c r="M760" s="433">
        <f t="shared" si="57"/>
        <v>0</v>
      </c>
      <c r="N760" s="672"/>
      <c r="O760" s="729">
        <f>IF(N760="",0,N760*K760/'9b-Vloeronderhoud'!$F$4)</f>
        <v>0</v>
      </c>
      <c r="P760" s="672"/>
      <c r="Q760" s="729" t="e">
        <f>IF(O760="",0,P760*L760/'9b-Vloeronderhoud'!$F$6)</f>
        <v>#DIV/0!</v>
      </c>
      <c r="R760" s="449">
        <v>1</v>
      </c>
      <c r="S760" s="672">
        <v>190</v>
      </c>
      <c r="T760" s="161" t="e">
        <f t="shared" si="58"/>
        <v>#DIV/0!</v>
      </c>
      <c r="U760" s="162">
        <f>IF(S760="nio",0,IF(S760&gt;0,VLOOKUP(G760,'3-Productie normen'!A:K,VLOOKUP(S760,'3-Productie normen'!L:N,3,FALSE),FALSE)))</f>
        <v>0</v>
      </c>
      <c r="V760" s="162">
        <f>VLOOKUP(G760,'3-Productie normen'!A:K,10,FALSE)</f>
        <v>648.99999618530273</v>
      </c>
      <c r="W760" s="163">
        <f>VLOOKUP(G760,'3-Productie normen'!A:K,11,FALSE)</f>
        <v>0</v>
      </c>
      <c r="X760" s="163"/>
      <c r="Z760" s="129">
        <f t="shared" si="59"/>
        <v>10336.000289916992</v>
      </c>
    </row>
    <row r="761" spans="1:26" ht="14.1" customHeight="1">
      <c r="A761" s="144">
        <v>767</v>
      </c>
      <c r="B761" s="160" t="s">
        <v>244</v>
      </c>
      <c r="C761" s="303" t="s">
        <v>673</v>
      </c>
      <c r="D761" s="304" t="s">
        <v>98</v>
      </c>
      <c r="E761" s="694" t="s">
        <v>311</v>
      </c>
      <c r="F761" s="303" t="s">
        <v>221</v>
      </c>
      <c r="G761" s="122" t="s">
        <v>221</v>
      </c>
      <c r="H761" s="303" t="s">
        <v>100</v>
      </c>
      <c r="I761" s="582" t="str">
        <f>VLOOKUP(H761,'9a-Typen vloeren'!$A$10:$B$40,2,FALSE)</f>
        <v>Sprayen/ conserveren</v>
      </c>
      <c r="J761" s="433">
        <v>54.400001525878906</v>
      </c>
      <c r="K761" s="433">
        <f t="shared" si="55"/>
        <v>54.400001525878906</v>
      </c>
      <c r="L761" s="433">
        <f t="shared" si="56"/>
        <v>0</v>
      </c>
      <c r="M761" s="433">
        <f t="shared" si="57"/>
        <v>0</v>
      </c>
      <c r="N761" s="672"/>
      <c r="O761" s="729">
        <f>IF(N761="",0,N761*K761/'9b-Vloeronderhoud'!$F$4)</f>
        <v>0</v>
      </c>
      <c r="P761" s="672"/>
      <c r="Q761" s="729" t="e">
        <f>IF(O761="",0,P761*L761/'9b-Vloeronderhoud'!$F$6)</f>
        <v>#DIV/0!</v>
      </c>
      <c r="R761" s="449">
        <v>1</v>
      </c>
      <c r="S761" s="672">
        <v>80</v>
      </c>
      <c r="T761" s="161" t="e">
        <f t="shared" si="58"/>
        <v>#DIV/0!</v>
      </c>
      <c r="U761" s="162">
        <f>IF(S761="nio",0,IF(S761&gt;0,VLOOKUP(G761,'3-Productie normen'!A:K,VLOOKUP(S761,'3-Productie normen'!L:N,3,FALSE),FALSE)))</f>
        <v>0</v>
      </c>
      <c r="V761" s="162">
        <f>VLOOKUP(G761,'3-Productie normen'!A:K,10,FALSE)</f>
        <v>16013.110036668773</v>
      </c>
      <c r="W761" s="163">
        <f>VLOOKUP(G761,'3-Productie normen'!A:K,11,FALSE)</f>
        <v>0</v>
      </c>
      <c r="X761" s="163"/>
      <c r="Z761" s="129">
        <f t="shared" si="59"/>
        <v>4352.0001220703125</v>
      </c>
    </row>
    <row r="762" spans="1:26" ht="14.1" customHeight="1">
      <c r="A762" s="144">
        <v>768</v>
      </c>
      <c r="B762" s="160" t="s">
        <v>244</v>
      </c>
      <c r="C762" s="303" t="s">
        <v>673</v>
      </c>
      <c r="D762" s="304" t="s">
        <v>98</v>
      </c>
      <c r="E762" s="694" t="s">
        <v>312</v>
      </c>
      <c r="F762" s="303" t="s">
        <v>221</v>
      </c>
      <c r="G762" s="460" t="s">
        <v>221</v>
      </c>
      <c r="H762" s="303" t="s">
        <v>100</v>
      </c>
      <c r="I762" s="582" t="str">
        <f>VLOOKUP(H762,'9a-Typen vloeren'!$A$10:$B$40,2,FALSE)</f>
        <v>Sprayen/ conserveren</v>
      </c>
      <c r="J762" s="433">
        <v>54.400001525878906</v>
      </c>
      <c r="K762" s="433">
        <f t="shared" si="55"/>
        <v>54.400001525878906</v>
      </c>
      <c r="L762" s="433">
        <f t="shared" si="56"/>
        <v>0</v>
      </c>
      <c r="M762" s="433">
        <f t="shared" si="57"/>
        <v>0</v>
      </c>
      <c r="N762" s="672"/>
      <c r="O762" s="729">
        <f>IF(N762="",0,N762*K762/'9b-Vloeronderhoud'!$F$4)</f>
        <v>0</v>
      </c>
      <c r="P762" s="672"/>
      <c r="Q762" s="729" t="e">
        <f>IF(O762="",0,P762*L762/'9b-Vloeronderhoud'!$F$6)</f>
        <v>#DIV/0!</v>
      </c>
      <c r="R762" s="449">
        <v>1</v>
      </c>
      <c r="S762" s="672">
        <v>80</v>
      </c>
      <c r="T762" s="161" t="e">
        <f t="shared" si="58"/>
        <v>#DIV/0!</v>
      </c>
      <c r="U762" s="162">
        <f>IF(S762="nio",0,IF(S762&gt;0,VLOOKUP(G762,'3-Productie normen'!A:K,VLOOKUP(S762,'3-Productie normen'!L:N,3,FALSE),FALSE)))</f>
        <v>0</v>
      </c>
      <c r="V762" s="162">
        <f>VLOOKUP(G762,'3-Productie normen'!A:K,10,FALSE)</f>
        <v>16013.110036668773</v>
      </c>
      <c r="W762" s="163">
        <f>VLOOKUP(G762,'3-Productie normen'!A:K,11,FALSE)</f>
        <v>0</v>
      </c>
      <c r="X762" s="163"/>
      <c r="Z762" s="129">
        <f t="shared" si="59"/>
        <v>4352.0001220703125</v>
      </c>
    </row>
    <row r="763" spans="1:26" ht="14.1" customHeight="1">
      <c r="A763" s="144">
        <v>769</v>
      </c>
      <c r="B763" s="160" t="s">
        <v>244</v>
      </c>
      <c r="C763" s="303" t="s">
        <v>673</v>
      </c>
      <c r="D763" s="304" t="s">
        <v>98</v>
      </c>
      <c r="E763" s="694" t="s">
        <v>315</v>
      </c>
      <c r="F763" s="303" t="s">
        <v>288</v>
      </c>
      <c r="G763" s="460" t="s">
        <v>862</v>
      </c>
      <c r="H763" s="303" t="s">
        <v>100</v>
      </c>
      <c r="I763" s="582" t="str">
        <f>VLOOKUP(H763,'9a-Typen vloeren'!$A$10:$B$40,2,FALSE)</f>
        <v>Sprayen/ conserveren</v>
      </c>
      <c r="J763" s="433">
        <v>180.85000610351563</v>
      </c>
      <c r="K763" s="433">
        <f t="shared" si="55"/>
        <v>180.85000610351563</v>
      </c>
      <c r="L763" s="433">
        <f t="shared" si="56"/>
        <v>0</v>
      </c>
      <c r="M763" s="433">
        <f t="shared" si="57"/>
        <v>0</v>
      </c>
      <c r="N763" s="672">
        <v>2</v>
      </c>
      <c r="O763" s="729" t="e">
        <f>IF(N763="",0,N763*K763/'9b-Vloeronderhoud'!$F$4)</f>
        <v>#DIV/0!</v>
      </c>
      <c r="P763" s="672"/>
      <c r="Q763" s="729" t="e">
        <f>IF(O763="",0,P763*L763/'9b-Vloeronderhoud'!$F$6)</f>
        <v>#DIV/0!</v>
      </c>
      <c r="R763" s="449">
        <v>1</v>
      </c>
      <c r="S763" s="672">
        <v>120</v>
      </c>
      <c r="T763" s="161" t="e">
        <f t="shared" si="58"/>
        <v>#DIV/0!</v>
      </c>
      <c r="U763" s="162">
        <f>IF(S763="nio",0,IF(S763&gt;0,VLOOKUP(G763,'3-Productie normen'!A:K,VLOOKUP(S763,'3-Productie normen'!L:N,3,FALSE),FALSE)))</f>
        <v>0</v>
      </c>
      <c r="V763" s="162">
        <f>VLOOKUP(G763,'3-Productie normen'!A:K,10,FALSE)</f>
        <v>4374.9900215911857</v>
      </c>
      <c r="W763" s="163">
        <f>VLOOKUP(G763,'3-Productie normen'!A:K,11,FALSE)</f>
        <v>0</v>
      </c>
      <c r="X763" s="163"/>
      <c r="Z763" s="129">
        <f t="shared" si="59"/>
        <v>21702.000732421875</v>
      </c>
    </row>
    <row r="764" spans="1:26" ht="14.1" customHeight="1">
      <c r="A764" s="144">
        <v>770</v>
      </c>
      <c r="B764" s="160" t="s">
        <v>244</v>
      </c>
      <c r="C764" s="303" t="s">
        <v>673</v>
      </c>
      <c r="D764" s="304" t="s">
        <v>98</v>
      </c>
      <c r="E764" s="694" t="s">
        <v>317</v>
      </c>
      <c r="F764" s="303" t="s">
        <v>288</v>
      </c>
      <c r="G764" s="460" t="s">
        <v>862</v>
      </c>
      <c r="H764" s="303" t="s">
        <v>100</v>
      </c>
      <c r="I764" s="582" t="str">
        <f>VLOOKUP(H764,'9a-Typen vloeren'!$A$10:$B$40,2,FALSE)</f>
        <v>Sprayen/ conserveren</v>
      </c>
      <c r="J764" s="433">
        <v>100.5</v>
      </c>
      <c r="K764" s="433">
        <f t="shared" si="55"/>
        <v>100.5</v>
      </c>
      <c r="L764" s="433">
        <f t="shared" si="56"/>
        <v>0</v>
      </c>
      <c r="M764" s="433">
        <f t="shared" si="57"/>
        <v>0</v>
      </c>
      <c r="N764" s="672">
        <v>2</v>
      </c>
      <c r="O764" s="729" t="e">
        <f>IF(N764="",0,N764*K764/'9b-Vloeronderhoud'!$F$4)</f>
        <v>#DIV/0!</v>
      </c>
      <c r="P764" s="672"/>
      <c r="Q764" s="729" t="e">
        <f>IF(O764="",0,P764*L764/'9b-Vloeronderhoud'!$F$6)</f>
        <v>#DIV/0!</v>
      </c>
      <c r="R764" s="449">
        <v>1</v>
      </c>
      <c r="S764" s="672">
        <v>120</v>
      </c>
      <c r="T764" s="161" t="e">
        <f t="shared" si="58"/>
        <v>#DIV/0!</v>
      </c>
      <c r="U764" s="162">
        <f>IF(S764="nio",0,IF(S764&gt;0,VLOOKUP(G764,'3-Productie normen'!A:K,VLOOKUP(S764,'3-Productie normen'!L:N,3,FALSE),FALSE)))</f>
        <v>0</v>
      </c>
      <c r="V764" s="162">
        <f>VLOOKUP(G764,'3-Productie normen'!A:K,10,FALSE)</f>
        <v>4374.9900215911857</v>
      </c>
      <c r="W764" s="163">
        <f>VLOOKUP(G764,'3-Productie normen'!A:K,11,FALSE)</f>
        <v>0</v>
      </c>
      <c r="X764" s="163"/>
      <c r="Z764" s="129">
        <f t="shared" si="59"/>
        <v>12060</v>
      </c>
    </row>
    <row r="765" spans="1:26" ht="14.1" customHeight="1">
      <c r="A765" s="144">
        <v>771</v>
      </c>
      <c r="B765" s="160" t="s">
        <v>244</v>
      </c>
      <c r="C765" s="303" t="s">
        <v>673</v>
      </c>
      <c r="D765" s="304" t="s">
        <v>98</v>
      </c>
      <c r="E765" s="694" t="s">
        <v>318</v>
      </c>
      <c r="F765" s="303" t="s">
        <v>283</v>
      </c>
      <c r="G765" s="546" t="s">
        <v>286</v>
      </c>
      <c r="H765" s="303" t="s">
        <v>100</v>
      </c>
      <c r="I765" s="582" t="str">
        <f>VLOOKUP(H765,'9a-Typen vloeren'!$A$10:$B$40,2,FALSE)</f>
        <v>Sprayen/ conserveren</v>
      </c>
      <c r="J765" s="433">
        <v>43.349998474121094</v>
      </c>
      <c r="K765" s="433">
        <f t="shared" si="55"/>
        <v>43.349998474121094</v>
      </c>
      <c r="L765" s="433">
        <f t="shared" si="56"/>
        <v>0</v>
      </c>
      <c r="M765" s="433">
        <f t="shared" si="57"/>
        <v>0</v>
      </c>
      <c r="N765" s="672">
        <v>2</v>
      </c>
      <c r="O765" s="729" t="e">
        <f>IF(N765="",0,N765*K765/'9b-Vloeronderhoud'!$F$4)</f>
        <v>#DIV/0!</v>
      </c>
      <c r="P765" s="672"/>
      <c r="Q765" s="729" t="e">
        <f>IF(O765="",0,P765*L765/'9b-Vloeronderhoud'!$F$6)</f>
        <v>#DIV/0!</v>
      </c>
      <c r="R765" s="449">
        <v>1</v>
      </c>
      <c r="S765" s="672">
        <v>120</v>
      </c>
      <c r="T765" s="161" t="e">
        <f t="shared" si="58"/>
        <v>#DIV/0!</v>
      </c>
      <c r="U765" s="162">
        <f>IF(S765="nio",0,IF(S765&gt;0,VLOOKUP(G765,'3-Productie normen'!A:K,VLOOKUP(S765,'3-Productie normen'!L:N,3,FALSE),FALSE)))</f>
        <v>0</v>
      </c>
      <c r="V765" s="162">
        <f>VLOOKUP(G765,'3-Productie normen'!A:K,10,FALSE)</f>
        <v>6152.9500017547598</v>
      </c>
      <c r="W765" s="163">
        <f>VLOOKUP(G765,'3-Productie normen'!A:K,11,FALSE)</f>
        <v>0</v>
      </c>
      <c r="X765" s="163"/>
      <c r="Z765" s="129">
        <f t="shared" si="59"/>
        <v>5201.9998168945313</v>
      </c>
    </row>
    <row r="766" spans="1:26" ht="14.1" customHeight="1">
      <c r="A766" s="144">
        <v>772</v>
      </c>
      <c r="B766" s="160" t="s">
        <v>244</v>
      </c>
      <c r="C766" s="303" t="s">
        <v>673</v>
      </c>
      <c r="D766" s="304" t="s">
        <v>98</v>
      </c>
      <c r="E766" s="694" t="s">
        <v>657</v>
      </c>
      <c r="F766" s="303" t="s">
        <v>283</v>
      </c>
      <c r="G766" s="4" t="s">
        <v>286</v>
      </c>
      <c r="H766" s="303" t="s">
        <v>100</v>
      </c>
      <c r="I766" s="582" t="str">
        <f>VLOOKUP(H766,'9a-Typen vloeren'!$A$10:$B$40,2,FALSE)</f>
        <v>Sprayen/ conserveren</v>
      </c>
      <c r="J766" s="587">
        <v>10</v>
      </c>
      <c r="K766" s="433">
        <f t="shared" si="55"/>
        <v>10</v>
      </c>
      <c r="L766" s="433">
        <f t="shared" si="56"/>
        <v>0</v>
      </c>
      <c r="M766" s="433">
        <f t="shared" si="57"/>
        <v>0</v>
      </c>
      <c r="N766" s="672">
        <v>2</v>
      </c>
      <c r="O766" s="729" t="e">
        <f>IF(N766="",0,N766*K766/'9b-Vloeronderhoud'!$F$4)</f>
        <v>#DIV/0!</v>
      </c>
      <c r="P766" s="672"/>
      <c r="Q766" s="729" t="e">
        <f>IF(O766="",0,P766*L766/'9b-Vloeronderhoud'!$F$6)</f>
        <v>#DIV/0!</v>
      </c>
      <c r="R766" s="449">
        <v>1</v>
      </c>
      <c r="S766" s="672">
        <v>120</v>
      </c>
      <c r="T766" s="161" t="e">
        <f t="shared" si="58"/>
        <v>#DIV/0!</v>
      </c>
      <c r="U766" s="162">
        <f>IF(S766="nio",0,IF(S766&gt;0,VLOOKUP(G766,'3-Productie normen'!A:K,VLOOKUP(S766,'3-Productie normen'!L:N,3,FALSE),FALSE)))</f>
        <v>0</v>
      </c>
      <c r="V766" s="162">
        <f>VLOOKUP(G766,'3-Productie normen'!A:K,10,FALSE)</f>
        <v>6152.9500017547598</v>
      </c>
      <c r="W766" s="163">
        <f>VLOOKUP(G766,'3-Productie normen'!A:K,11,FALSE)</f>
        <v>0</v>
      </c>
      <c r="X766" s="163"/>
      <c r="Z766" s="129">
        <f t="shared" si="59"/>
        <v>1200</v>
      </c>
    </row>
    <row r="767" spans="1:26" ht="14.1" customHeight="1">
      <c r="A767" s="144">
        <v>773</v>
      </c>
      <c r="B767" s="160" t="s">
        <v>244</v>
      </c>
      <c r="C767" s="303" t="s">
        <v>673</v>
      </c>
      <c r="D767" s="304" t="s">
        <v>98</v>
      </c>
      <c r="E767" s="694" t="s">
        <v>319</v>
      </c>
      <c r="F767" s="303" t="s">
        <v>283</v>
      </c>
      <c r="G767" s="460" t="s">
        <v>286</v>
      </c>
      <c r="H767" s="303" t="s">
        <v>332</v>
      </c>
      <c r="I767" s="582" t="str">
        <f>VLOOKUP(H767,'9a-Typen vloeren'!$A$10:$B$40,2,FALSE)</f>
        <v>Sproei/extraheren</v>
      </c>
      <c r="J767" s="433">
        <v>13.7</v>
      </c>
      <c r="K767" s="433">
        <f t="shared" si="55"/>
        <v>0</v>
      </c>
      <c r="L767" s="433">
        <f t="shared" si="56"/>
        <v>0</v>
      </c>
      <c r="M767" s="433">
        <f t="shared" si="57"/>
        <v>13.7</v>
      </c>
      <c r="N767" s="672"/>
      <c r="O767" s="729">
        <f>IF(N767="",0,N767*K767/'9b-Vloeronderhoud'!$F$4)</f>
        <v>0</v>
      </c>
      <c r="P767" s="672"/>
      <c r="Q767" s="729" t="e">
        <f>IF(O767="",0,P767*L767/'9b-Vloeronderhoud'!$F$6)</f>
        <v>#DIV/0!</v>
      </c>
      <c r="R767" s="449">
        <v>1</v>
      </c>
      <c r="S767" s="672">
        <v>120</v>
      </c>
      <c r="T767" s="161" t="e">
        <f t="shared" si="58"/>
        <v>#DIV/0!</v>
      </c>
      <c r="U767" s="162">
        <f>IF(S767="nio",0,IF(S767&gt;0,VLOOKUP(G767,'3-Productie normen'!A:K,VLOOKUP(S767,'3-Productie normen'!L:N,3,FALSE),FALSE)))</f>
        <v>0</v>
      </c>
      <c r="V767" s="162">
        <f>VLOOKUP(G767,'3-Productie normen'!A:K,10,FALSE)</f>
        <v>6152.9500017547598</v>
      </c>
      <c r="W767" s="163">
        <f>VLOOKUP(G767,'3-Productie normen'!A:K,11,FALSE)</f>
        <v>0</v>
      </c>
      <c r="X767" s="163"/>
      <c r="Z767" s="129">
        <f t="shared" si="59"/>
        <v>1644</v>
      </c>
    </row>
    <row r="768" spans="1:26" ht="14.1" customHeight="1">
      <c r="A768" s="144">
        <v>774</v>
      </c>
      <c r="B768" s="160" t="s">
        <v>244</v>
      </c>
      <c r="C768" s="303" t="s">
        <v>673</v>
      </c>
      <c r="D768" s="304" t="s">
        <v>98</v>
      </c>
      <c r="E768" s="694" t="s">
        <v>320</v>
      </c>
      <c r="F768" s="303" t="s">
        <v>283</v>
      </c>
      <c r="G768" s="460" t="s">
        <v>286</v>
      </c>
      <c r="H768" s="303" t="s">
        <v>100</v>
      </c>
      <c r="I768" s="582" t="str">
        <f>VLOOKUP(H768,'9a-Typen vloeren'!$A$10:$B$40,2,FALSE)</f>
        <v>Sprayen/ conserveren</v>
      </c>
      <c r="J768" s="433">
        <v>12.600000381469727</v>
      </c>
      <c r="K768" s="433">
        <f t="shared" si="55"/>
        <v>12.600000381469727</v>
      </c>
      <c r="L768" s="433">
        <f t="shared" si="56"/>
        <v>0</v>
      </c>
      <c r="M768" s="433">
        <f t="shared" si="57"/>
        <v>0</v>
      </c>
      <c r="N768" s="672">
        <v>2</v>
      </c>
      <c r="O768" s="729" t="e">
        <f>IF(N768="",0,N768*K768/'9b-Vloeronderhoud'!$F$4)</f>
        <v>#DIV/0!</v>
      </c>
      <c r="P768" s="672"/>
      <c r="Q768" s="729" t="e">
        <f>IF(O768="",0,P768*L768/'9b-Vloeronderhoud'!$F$6)</f>
        <v>#DIV/0!</v>
      </c>
      <c r="R768" s="449">
        <v>1</v>
      </c>
      <c r="S768" s="672">
        <v>120</v>
      </c>
      <c r="T768" s="161" t="e">
        <f t="shared" si="58"/>
        <v>#DIV/0!</v>
      </c>
      <c r="U768" s="162">
        <f>IF(S768="nio",0,IF(S768&gt;0,VLOOKUP(G768,'3-Productie normen'!A:K,VLOOKUP(S768,'3-Productie normen'!L:N,3,FALSE),FALSE)))</f>
        <v>0</v>
      </c>
      <c r="V768" s="162">
        <f>VLOOKUP(G768,'3-Productie normen'!A:K,10,FALSE)</f>
        <v>6152.9500017547598</v>
      </c>
      <c r="W768" s="163">
        <f>VLOOKUP(G768,'3-Productie normen'!A:K,11,FALSE)</f>
        <v>0</v>
      </c>
      <c r="X768" s="163"/>
      <c r="Z768" s="129">
        <f t="shared" si="59"/>
        <v>1512.0000457763672</v>
      </c>
    </row>
    <row r="769" spans="1:26" ht="14.1" customHeight="1">
      <c r="A769" s="144">
        <v>775</v>
      </c>
      <c r="B769" s="160" t="s">
        <v>244</v>
      </c>
      <c r="C769" s="303" t="s">
        <v>673</v>
      </c>
      <c r="D769" s="304" t="s">
        <v>98</v>
      </c>
      <c r="E769" s="694" t="s">
        <v>321</v>
      </c>
      <c r="F769" s="303" t="s">
        <v>99</v>
      </c>
      <c r="G769" s="303" t="s">
        <v>99</v>
      </c>
      <c r="H769" s="303" t="s">
        <v>332</v>
      </c>
      <c r="I769" s="582" t="str">
        <f>VLOOKUP(H769,'9a-Typen vloeren'!$A$10:$B$40,2,FALSE)</f>
        <v>Sproei/extraheren</v>
      </c>
      <c r="J769" s="433">
        <v>3.6</v>
      </c>
      <c r="K769" s="433">
        <f t="shared" si="55"/>
        <v>0</v>
      </c>
      <c r="L769" s="433">
        <f t="shared" si="56"/>
        <v>0</v>
      </c>
      <c r="M769" s="433">
        <f t="shared" si="57"/>
        <v>3.6</v>
      </c>
      <c r="N769" s="672"/>
      <c r="O769" s="729">
        <f>IF(N769="",0,N769*K769/'9b-Vloeronderhoud'!$F$4)</f>
        <v>0</v>
      </c>
      <c r="P769" s="672"/>
      <c r="Q769" s="729" t="e">
        <f>IF(O769="",0,P769*L769/'9b-Vloeronderhoud'!$F$6)</f>
        <v>#DIV/0!</v>
      </c>
      <c r="R769" s="449">
        <v>1</v>
      </c>
      <c r="S769" s="672">
        <v>190</v>
      </c>
      <c r="T769" s="161" t="e">
        <f t="shared" si="58"/>
        <v>#DIV/0!</v>
      </c>
      <c r="U769" s="162">
        <f>IF(S769="nio",0,IF(S769&gt;0,VLOOKUP(G769,'3-Productie normen'!A:K,VLOOKUP(S769,'3-Productie normen'!L:N,3,FALSE),FALSE)))</f>
        <v>0</v>
      </c>
      <c r="V769" s="162">
        <f>VLOOKUP(G769,'3-Productie normen'!A:K,10,FALSE)</f>
        <v>726.97999910354622</v>
      </c>
      <c r="W769" s="163">
        <f>VLOOKUP(G769,'3-Productie normen'!A:K,11,FALSE)</f>
        <v>0</v>
      </c>
      <c r="X769" s="163"/>
      <c r="Z769" s="129">
        <f t="shared" si="59"/>
        <v>684</v>
      </c>
    </row>
    <row r="770" spans="1:26" ht="14.1" customHeight="1">
      <c r="A770" s="144">
        <v>776</v>
      </c>
      <c r="B770" s="160" t="s">
        <v>244</v>
      </c>
      <c r="C770" s="303" t="s">
        <v>673</v>
      </c>
      <c r="D770" s="304" t="s">
        <v>98</v>
      </c>
      <c r="E770" s="694" t="s">
        <v>322</v>
      </c>
      <c r="F770" s="303" t="s">
        <v>99</v>
      </c>
      <c r="G770" s="460" t="s">
        <v>99</v>
      </c>
      <c r="H770" s="303" t="s">
        <v>332</v>
      </c>
      <c r="I770" s="582" t="str">
        <f>VLOOKUP(H770,'9a-Typen vloeren'!$A$10:$B$40,2,FALSE)</f>
        <v>Sproei/extraheren</v>
      </c>
      <c r="J770" s="433">
        <v>8.9499998092651367</v>
      </c>
      <c r="K770" s="433">
        <f t="shared" si="55"/>
        <v>0</v>
      </c>
      <c r="L770" s="433">
        <f t="shared" si="56"/>
        <v>0</v>
      </c>
      <c r="M770" s="433">
        <f t="shared" si="57"/>
        <v>8.9499998092651367</v>
      </c>
      <c r="N770" s="672"/>
      <c r="O770" s="729">
        <f>IF(N770="",0,N770*K770/'9b-Vloeronderhoud'!$F$4)</f>
        <v>0</v>
      </c>
      <c r="P770" s="672"/>
      <c r="Q770" s="729" t="e">
        <f>IF(O770="",0,P770*L770/'9b-Vloeronderhoud'!$F$6)</f>
        <v>#DIV/0!</v>
      </c>
      <c r="R770" s="449">
        <v>1</v>
      </c>
      <c r="S770" s="672">
        <v>190</v>
      </c>
      <c r="T770" s="161" t="e">
        <f t="shared" si="58"/>
        <v>#DIV/0!</v>
      </c>
      <c r="U770" s="162">
        <f>IF(S770="nio",0,IF(S770&gt;0,VLOOKUP(G770,'3-Productie normen'!A:K,VLOOKUP(S770,'3-Productie normen'!L:N,3,FALSE),FALSE)))</f>
        <v>0</v>
      </c>
      <c r="V770" s="162">
        <f>VLOOKUP(G770,'3-Productie normen'!A:K,10,FALSE)</f>
        <v>726.97999910354622</v>
      </c>
      <c r="W770" s="163">
        <f>VLOOKUP(G770,'3-Productie normen'!A:K,11,FALSE)</f>
        <v>0</v>
      </c>
      <c r="X770" s="163"/>
      <c r="Z770" s="129">
        <f t="shared" si="59"/>
        <v>1700.499963760376</v>
      </c>
    </row>
    <row r="771" spans="1:26" ht="14.1" customHeight="1">
      <c r="A771" s="144">
        <v>777</v>
      </c>
      <c r="B771" s="160" t="s">
        <v>244</v>
      </c>
      <c r="C771" s="303" t="s">
        <v>673</v>
      </c>
      <c r="D771" s="304" t="s">
        <v>98</v>
      </c>
      <c r="E771" s="694" t="s">
        <v>658</v>
      </c>
      <c r="F771" s="303" t="s">
        <v>99</v>
      </c>
      <c r="G771" s="546" t="s">
        <v>99</v>
      </c>
      <c r="H771" s="303" t="s">
        <v>332</v>
      </c>
      <c r="I771" s="582" t="str">
        <f>VLOOKUP(H771,'9a-Typen vloeren'!$A$10:$B$40,2,FALSE)</f>
        <v>Sproei/extraheren</v>
      </c>
      <c r="J771" s="433">
        <v>4</v>
      </c>
      <c r="K771" s="433">
        <f t="shared" si="55"/>
        <v>0</v>
      </c>
      <c r="L771" s="433">
        <f t="shared" si="56"/>
        <v>0</v>
      </c>
      <c r="M771" s="433">
        <f t="shared" si="57"/>
        <v>4</v>
      </c>
      <c r="N771" s="672"/>
      <c r="O771" s="729">
        <f>IF(N771="",0,N771*K771/'9b-Vloeronderhoud'!$F$4)</f>
        <v>0</v>
      </c>
      <c r="P771" s="672"/>
      <c r="Q771" s="729" t="e">
        <f>IF(O771="",0,P771*L771/'9b-Vloeronderhoud'!$F$6)</f>
        <v>#DIV/0!</v>
      </c>
      <c r="R771" s="449">
        <v>1</v>
      </c>
      <c r="S771" s="672">
        <v>190</v>
      </c>
      <c r="T771" s="161" t="e">
        <f t="shared" si="58"/>
        <v>#DIV/0!</v>
      </c>
      <c r="U771" s="162">
        <f>IF(S771="nio",0,IF(S771&gt;0,VLOOKUP(G771,'3-Productie normen'!A:K,VLOOKUP(S771,'3-Productie normen'!L:N,3,FALSE),FALSE)))</f>
        <v>0</v>
      </c>
      <c r="V771" s="162">
        <f>VLOOKUP(G771,'3-Productie normen'!A:K,10,FALSE)</f>
        <v>726.97999910354622</v>
      </c>
      <c r="W771" s="163">
        <f>VLOOKUP(G771,'3-Productie normen'!A:K,11,FALSE)</f>
        <v>0</v>
      </c>
      <c r="X771" s="163"/>
      <c r="Z771" s="129">
        <f t="shared" si="59"/>
        <v>760</v>
      </c>
    </row>
    <row r="772" spans="1:26" ht="14.1" customHeight="1">
      <c r="A772" s="144">
        <v>778</v>
      </c>
      <c r="B772" s="160" t="s">
        <v>244</v>
      </c>
      <c r="C772" s="303" t="s">
        <v>673</v>
      </c>
      <c r="D772" s="304" t="s">
        <v>98</v>
      </c>
      <c r="E772" s="694" t="s">
        <v>659</v>
      </c>
      <c r="F772" s="303" t="s">
        <v>284</v>
      </c>
      <c r="G772" s="460" t="s">
        <v>99</v>
      </c>
      <c r="H772" s="303" t="s">
        <v>332</v>
      </c>
      <c r="I772" s="582" t="str">
        <f>VLOOKUP(H772,'9a-Typen vloeren'!$A$10:$B$40,2,FALSE)</f>
        <v>Sproei/extraheren</v>
      </c>
      <c r="J772" s="433">
        <v>3</v>
      </c>
      <c r="K772" s="433">
        <f t="shared" si="55"/>
        <v>0</v>
      </c>
      <c r="L772" s="433">
        <f t="shared" si="56"/>
        <v>0</v>
      </c>
      <c r="M772" s="433">
        <f t="shared" si="57"/>
        <v>3</v>
      </c>
      <c r="N772" s="672"/>
      <c r="O772" s="729">
        <f>IF(N772="",0,N772*K772/'9b-Vloeronderhoud'!$F$4)</f>
        <v>0</v>
      </c>
      <c r="P772" s="672"/>
      <c r="Q772" s="729" t="e">
        <f>IF(O772="",0,P772*L772/'9b-Vloeronderhoud'!$F$6)</f>
        <v>#DIV/0!</v>
      </c>
      <c r="R772" s="449">
        <v>1</v>
      </c>
      <c r="S772" s="672">
        <v>190</v>
      </c>
      <c r="T772" s="161" t="e">
        <f t="shared" si="58"/>
        <v>#DIV/0!</v>
      </c>
      <c r="U772" s="162">
        <f>IF(S772="nio",0,IF(S772&gt;0,VLOOKUP(G772,'3-Productie normen'!A:K,VLOOKUP(S772,'3-Productie normen'!L:N,3,FALSE),FALSE)))</f>
        <v>0</v>
      </c>
      <c r="V772" s="162">
        <f>VLOOKUP(G772,'3-Productie normen'!A:K,10,FALSE)</f>
        <v>726.97999910354622</v>
      </c>
      <c r="W772" s="163">
        <f>VLOOKUP(G772,'3-Productie normen'!A:K,11,FALSE)</f>
        <v>0</v>
      </c>
      <c r="X772" s="163"/>
      <c r="Z772" s="129">
        <f t="shared" si="59"/>
        <v>570</v>
      </c>
    </row>
    <row r="773" spans="1:26" ht="14.1" customHeight="1">
      <c r="A773" s="144">
        <v>779</v>
      </c>
      <c r="B773" s="160" t="s">
        <v>244</v>
      </c>
      <c r="C773" s="303" t="s">
        <v>673</v>
      </c>
      <c r="D773" s="304" t="s">
        <v>98</v>
      </c>
      <c r="E773" s="694" t="s">
        <v>323</v>
      </c>
      <c r="F773" s="303" t="s">
        <v>297</v>
      </c>
      <c r="G773" s="460" t="s">
        <v>189</v>
      </c>
      <c r="H773" s="303" t="s">
        <v>332</v>
      </c>
      <c r="I773" s="582" t="str">
        <f>VLOOKUP(H773,'9a-Typen vloeren'!$A$10:$B$40,2,FALSE)</f>
        <v>Sproei/extraheren</v>
      </c>
      <c r="J773" s="433">
        <v>16.5</v>
      </c>
      <c r="K773" s="433">
        <f t="shared" ref="K773:K804" si="60">IF(G773="niet in onderhoud",0,IF(I773="sprayen/ conserveren",J773,0))</f>
        <v>0</v>
      </c>
      <c r="L773" s="433">
        <f t="shared" ref="L773:L804" si="61">IF(G773="niet in onderhoud",0,IF(I773="schrobben",J773,0))</f>
        <v>0</v>
      </c>
      <c r="M773" s="433">
        <f t="shared" ref="M773:M804" si="62">IF(G773="niet in onderhoud",0,IF(I773="Sproei/extraheren",J773,0))</f>
        <v>16.5</v>
      </c>
      <c r="N773" s="672"/>
      <c r="O773" s="729">
        <f>IF(N773="",0,N773*K773/'9b-Vloeronderhoud'!$F$4)</f>
        <v>0</v>
      </c>
      <c r="P773" s="672"/>
      <c r="Q773" s="729" t="e">
        <f>IF(O773="",0,P773*L773/'9b-Vloeronderhoud'!$F$6)</f>
        <v>#DIV/0!</v>
      </c>
      <c r="R773" s="449">
        <v>1</v>
      </c>
      <c r="S773" s="672">
        <v>40</v>
      </c>
      <c r="T773" s="161" t="e">
        <f t="shared" si="58"/>
        <v>#DIV/0!</v>
      </c>
      <c r="U773" s="162">
        <f>IF(S773="nio",0,IF(S773&gt;0,VLOOKUP(G773,'3-Productie normen'!A:K,VLOOKUP(S773,'3-Productie normen'!L:N,3,FALSE),FALSE)))</f>
        <v>0</v>
      </c>
      <c r="V773" s="162">
        <f>VLOOKUP(G773,'3-Productie normen'!A:K,10,FALSE)</f>
        <v>1494.1700078582762</v>
      </c>
      <c r="W773" s="163">
        <f>VLOOKUP(G773,'3-Productie normen'!A:K,11,FALSE)</f>
        <v>0</v>
      </c>
      <c r="X773" s="163"/>
      <c r="Z773" s="129">
        <f t="shared" si="59"/>
        <v>660</v>
      </c>
    </row>
    <row r="774" spans="1:26" ht="14.1" customHeight="1">
      <c r="A774" s="144">
        <v>780</v>
      </c>
      <c r="B774" s="160" t="s">
        <v>244</v>
      </c>
      <c r="C774" s="303" t="s">
        <v>673</v>
      </c>
      <c r="D774" s="304" t="s">
        <v>98</v>
      </c>
      <c r="E774" s="694" t="s">
        <v>324</v>
      </c>
      <c r="F774" s="303" t="s">
        <v>297</v>
      </c>
      <c r="G774" s="460" t="s">
        <v>189</v>
      </c>
      <c r="H774" s="303" t="s">
        <v>332</v>
      </c>
      <c r="I774" s="582" t="str">
        <f>VLOOKUP(H774,'9a-Typen vloeren'!$A$10:$B$40,2,FALSE)</f>
        <v>Sproei/extraheren</v>
      </c>
      <c r="J774" s="433">
        <v>11.5</v>
      </c>
      <c r="K774" s="433">
        <f t="shared" si="60"/>
        <v>0</v>
      </c>
      <c r="L774" s="433">
        <f t="shared" si="61"/>
        <v>0</v>
      </c>
      <c r="M774" s="433">
        <f t="shared" si="62"/>
        <v>11.5</v>
      </c>
      <c r="N774" s="672"/>
      <c r="O774" s="729">
        <f>IF(N774="",0,N774*K774/'9b-Vloeronderhoud'!$F$4)</f>
        <v>0</v>
      </c>
      <c r="P774" s="672"/>
      <c r="Q774" s="729" t="e">
        <f>IF(O774="",0,P774*L774/'9b-Vloeronderhoud'!$F$6)</f>
        <v>#DIV/0!</v>
      </c>
      <c r="R774" s="449">
        <v>1</v>
      </c>
      <c r="S774" s="672">
        <v>40</v>
      </c>
      <c r="T774" s="161" t="e">
        <f t="shared" si="58"/>
        <v>#DIV/0!</v>
      </c>
      <c r="U774" s="162">
        <f>IF(S774="nio",0,IF(S774&gt;0,VLOOKUP(G774,'3-Productie normen'!A:K,VLOOKUP(S774,'3-Productie normen'!L:N,3,FALSE),FALSE)))</f>
        <v>0</v>
      </c>
      <c r="V774" s="162">
        <f>VLOOKUP(G774,'3-Productie normen'!A:K,10,FALSE)</f>
        <v>1494.1700078582762</v>
      </c>
      <c r="W774" s="163">
        <f>VLOOKUP(G774,'3-Productie normen'!A:K,11,FALSE)</f>
        <v>0</v>
      </c>
      <c r="X774" s="163"/>
      <c r="Z774" s="129">
        <f t="shared" si="59"/>
        <v>460</v>
      </c>
    </row>
    <row r="775" spans="1:26" ht="14.1" customHeight="1">
      <c r="A775" s="144">
        <v>781</v>
      </c>
      <c r="B775" s="160" t="s">
        <v>244</v>
      </c>
      <c r="C775" s="303" t="s">
        <v>673</v>
      </c>
      <c r="D775" s="304" t="s">
        <v>98</v>
      </c>
      <c r="E775" s="694" t="s">
        <v>325</v>
      </c>
      <c r="F775" s="303" t="s">
        <v>445</v>
      </c>
      <c r="G775" s="460" t="s">
        <v>189</v>
      </c>
      <c r="H775" s="303" t="s">
        <v>332</v>
      </c>
      <c r="I775" s="582" t="str">
        <f>VLOOKUP(H775,'9a-Typen vloeren'!$A$10:$B$40,2,FALSE)</f>
        <v>Sproei/extraheren</v>
      </c>
      <c r="J775" s="433">
        <v>28.9</v>
      </c>
      <c r="K775" s="433">
        <f t="shared" si="60"/>
        <v>0</v>
      </c>
      <c r="L775" s="433">
        <f t="shared" si="61"/>
        <v>0</v>
      </c>
      <c r="M775" s="433">
        <f t="shared" si="62"/>
        <v>28.9</v>
      </c>
      <c r="N775" s="672"/>
      <c r="O775" s="729">
        <f>IF(N775="",0,N775*K775/'9b-Vloeronderhoud'!$F$4)</f>
        <v>0</v>
      </c>
      <c r="P775" s="672"/>
      <c r="Q775" s="729" t="e">
        <f>IF(O775="",0,P775*L775/'9b-Vloeronderhoud'!$F$6)</f>
        <v>#DIV/0!</v>
      </c>
      <c r="R775" s="449">
        <v>1</v>
      </c>
      <c r="S775" s="672">
        <v>40</v>
      </c>
      <c r="T775" s="161" t="e">
        <f t="shared" si="58"/>
        <v>#DIV/0!</v>
      </c>
      <c r="U775" s="162">
        <f>IF(S775="nio",0,IF(S775&gt;0,VLOOKUP(G775,'3-Productie normen'!A:K,VLOOKUP(S775,'3-Productie normen'!L:N,3,FALSE),FALSE)))</f>
        <v>0</v>
      </c>
      <c r="V775" s="162">
        <f>VLOOKUP(G775,'3-Productie normen'!A:K,10,FALSE)</f>
        <v>1494.1700078582762</v>
      </c>
      <c r="W775" s="163">
        <f>VLOOKUP(G775,'3-Productie normen'!A:K,11,FALSE)</f>
        <v>0</v>
      </c>
      <c r="X775" s="163"/>
      <c r="Z775" s="129">
        <f t="shared" si="59"/>
        <v>1156</v>
      </c>
    </row>
    <row r="776" spans="1:26" ht="14.1" customHeight="1">
      <c r="A776" s="144">
        <v>782</v>
      </c>
      <c r="B776" s="160" t="s">
        <v>244</v>
      </c>
      <c r="C776" s="303" t="s">
        <v>673</v>
      </c>
      <c r="D776" s="304" t="s">
        <v>98</v>
      </c>
      <c r="E776" s="694" t="s">
        <v>326</v>
      </c>
      <c r="F776" s="303" t="s">
        <v>660</v>
      </c>
      <c r="G776" s="460" t="s">
        <v>18</v>
      </c>
      <c r="H776" s="303" t="s">
        <v>967</v>
      </c>
      <c r="I776" s="582" t="str">
        <f>VLOOKUP(H776,'9a-Typen vloeren'!$A$10:$B$40,2,FALSE)</f>
        <v>zie kwaliteitsontwerp</v>
      </c>
      <c r="J776" s="433">
        <v>5.3</v>
      </c>
      <c r="K776" s="433">
        <f t="shared" si="60"/>
        <v>0</v>
      </c>
      <c r="L776" s="433">
        <f t="shared" si="61"/>
        <v>0</v>
      </c>
      <c r="M776" s="433">
        <f t="shared" si="62"/>
        <v>0</v>
      </c>
      <c r="N776" s="672"/>
      <c r="O776" s="729">
        <f>IF(N776="",0,N776*K776/'9b-Vloeronderhoud'!$F$4)</f>
        <v>0</v>
      </c>
      <c r="P776" s="672"/>
      <c r="Q776" s="729" t="e">
        <f>IF(O776="",0,P776*L776/'9b-Vloeronderhoud'!$F$6)</f>
        <v>#DIV/0!</v>
      </c>
      <c r="R776" s="449">
        <v>1</v>
      </c>
      <c r="S776" s="672">
        <v>190</v>
      </c>
      <c r="T776" s="161" t="e">
        <f t="shared" si="58"/>
        <v>#DIV/0!</v>
      </c>
      <c r="U776" s="162">
        <f>IF(S776="nio",0,IF(S776&gt;0,VLOOKUP(G776,'3-Productie normen'!A:K,VLOOKUP(S776,'3-Productie normen'!L:N,3,FALSE),FALSE)))</f>
        <v>0</v>
      </c>
      <c r="V776" s="162">
        <f>VLOOKUP(G776,'3-Productie normen'!A:K,10,FALSE)</f>
        <v>1859.5880019121171</v>
      </c>
      <c r="W776" s="163">
        <f>VLOOKUP(G776,'3-Productie normen'!A:K,11,FALSE)</f>
        <v>0</v>
      </c>
      <c r="X776" s="163"/>
      <c r="Z776" s="129">
        <f t="shared" si="59"/>
        <v>1007</v>
      </c>
    </row>
    <row r="777" spans="1:26" ht="14.1" customHeight="1">
      <c r="A777" s="144">
        <v>783</v>
      </c>
      <c r="B777" s="160" t="s">
        <v>244</v>
      </c>
      <c r="C777" s="303" t="s">
        <v>673</v>
      </c>
      <c r="D777" s="304" t="s">
        <v>98</v>
      </c>
      <c r="E777" s="694" t="s">
        <v>327</v>
      </c>
      <c r="F777" s="303" t="s">
        <v>282</v>
      </c>
      <c r="G777" s="460" t="s">
        <v>881</v>
      </c>
      <c r="H777" s="303" t="s">
        <v>335</v>
      </c>
      <c r="I777" s="582" t="str">
        <f>VLOOKUP(H777,'9a-Typen vloeren'!$A$10:$B$40,2,FALSE)</f>
        <v>Schrobben</v>
      </c>
      <c r="J777" s="433">
        <v>5.3</v>
      </c>
      <c r="K777" s="433">
        <f t="shared" si="60"/>
        <v>0</v>
      </c>
      <c r="L777" s="433">
        <f t="shared" si="61"/>
        <v>0</v>
      </c>
      <c r="M777" s="433">
        <f t="shared" si="62"/>
        <v>0</v>
      </c>
      <c r="N777" s="672"/>
      <c r="O777" s="729">
        <f>IF(N777="",0,N777*K777/'9b-Vloeronderhoud'!$F$4)</f>
        <v>0</v>
      </c>
      <c r="P777" s="672"/>
      <c r="Q777" s="729" t="e">
        <f>IF(O777="",0,P777*L777/'9b-Vloeronderhoud'!$F$6)</f>
        <v>#DIV/0!</v>
      </c>
      <c r="R777" s="449">
        <v>1</v>
      </c>
      <c r="S777" s="672" t="s">
        <v>179</v>
      </c>
      <c r="T777" s="161">
        <f t="shared" si="58"/>
        <v>0</v>
      </c>
      <c r="U777" s="162">
        <f>IF(S777="nio",0,IF(S777&gt;0,VLOOKUP(G777,'3-Productie normen'!A:K,VLOOKUP(S777,'3-Productie normen'!L:N,3,FALSE),FALSE)))</f>
        <v>0</v>
      </c>
      <c r="V777" s="162">
        <f>VLOOKUP(G777,'3-Productie normen'!A:K,10,FALSE)</f>
        <v>5262.809993648526</v>
      </c>
      <c r="W777" s="163">
        <f>VLOOKUP(G777,'3-Productie normen'!A:K,11,FALSE)</f>
        <v>0</v>
      </c>
      <c r="X777" s="163"/>
      <c r="Z777" s="129">
        <f t="shared" si="59"/>
        <v>0</v>
      </c>
    </row>
    <row r="778" spans="1:26" ht="14.1" customHeight="1">
      <c r="A778" s="144">
        <v>784</v>
      </c>
      <c r="B778" s="160" t="s">
        <v>244</v>
      </c>
      <c r="C778" s="303" t="s">
        <v>673</v>
      </c>
      <c r="D778" s="304" t="s">
        <v>98</v>
      </c>
      <c r="E778" s="694" t="s">
        <v>661</v>
      </c>
      <c r="F778" s="303" t="s">
        <v>302</v>
      </c>
      <c r="G778" s="303" t="s">
        <v>18</v>
      </c>
      <c r="H778" s="303" t="s">
        <v>967</v>
      </c>
      <c r="I778" s="582" t="str">
        <f>VLOOKUP(H778,'9a-Typen vloeren'!$A$10:$B$40,2,FALSE)</f>
        <v>zie kwaliteitsontwerp</v>
      </c>
      <c r="J778" s="433">
        <v>5.8</v>
      </c>
      <c r="K778" s="433">
        <f t="shared" si="60"/>
        <v>0</v>
      </c>
      <c r="L778" s="433">
        <f t="shared" si="61"/>
        <v>0</v>
      </c>
      <c r="M778" s="433">
        <f t="shared" si="62"/>
        <v>0</v>
      </c>
      <c r="N778" s="672"/>
      <c r="O778" s="729">
        <f>IF(N778="",0,N778*K778/'9b-Vloeronderhoud'!$F$4)</f>
        <v>0</v>
      </c>
      <c r="P778" s="672"/>
      <c r="Q778" s="729" t="e">
        <f>IF(O778="",0,P778*L778/'9b-Vloeronderhoud'!$F$6)</f>
        <v>#DIV/0!</v>
      </c>
      <c r="R778" s="449">
        <v>1</v>
      </c>
      <c r="S778" s="672">
        <v>190</v>
      </c>
      <c r="T778" s="161" t="e">
        <f t="shared" ref="T778:T841" si="63">IF(S778="nio",0,IF(S778&gt;0,S778*J778/U778,0))*R778</f>
        <v>#DIV/0!</v>
      </c>
      <c r="U778" s="162">
        <f>IF(S778="nio",0,IF(S778&gt;0,VLOOKUP(G778,'3-Productie normen'!A:K,VLOOKUP(S778,'3-Productie normen'!L:N,3,FALSE),FALSE)))</f>
        <v>0</v>
      </c>
      <c r="V778" s="162">
        <f>VLOOKUP(G778,'3-Productie normen'!A:K,10,FALSE)</f>
        <v>1859.5880019121171</v>
      </c>
      <c r="W778" s="163">
        <f>VLOOKUP(G778,'3-Productie normen'!A:K,11,FALSE)</f>
        <v>0</v>
      </c>
      <c r="X778" s="163"/>
      <c r="Z778" s="129">
        <f t="shared" ref="Z778:Z841" si="64">SUM(S778:S778)*J778</f>
        <v>1102</v>
      </c>
    </row>
    <row r="779" spans="1:26" ht="14.1" customHeight="1">
      <c r="A779" s="144">
        <v>785</v>
      </c>
      <c r="B779" s="160" t="s">
        <v>244</v>
      </c>
      <c r="C779" s="303" t="s">
        <v>673</v>
      </c>
      <c r="D779" s="304" t="s">
        <v>98</v>
      </c>
      <c r="E779" s="694" t="s">
        <v>662</v>
      </c>
      <c r="F779" s="303" t="s">
        <v>302</v>
      </c>
      <c r="G779" s="303" t="s">
        <v>18</v>
      </c>
      <c r="H779" s="303" t="s">
        <v>967</v>
      </c>
      <c r="I779" s="582" t="str">
        <f>VLOOKUP(H779,'9a-Typen vloeren'!$A$10:$B$40,2,FALSE)</f>
        <v>zie kwaliteitsontwerp</v>
      </c>
      <c r="J779" s="433">
        <v>6.5</v>
      </c>
      <c r="K779" s="433">
        <f t="shared" si="60"/>
        <v>0</v>
      </c>
      <c r="L779" s="433">
        <f t="shared" si="61"/>
        <v>0</v>
      </c>
      <c r="M779" s="433">
        <f t="shared" si="62"/>
        <v>0</v>
      </c>
      <c r="N779" s="672"/>
      <c r="O779" s="729">
        <f>IF(N779="",0,N779*K779/'9b-Vloeronderhoud'!$F$4)</f>
        <v>0</v>
      </c>
      <c r="P779" s="672"/>
      <c r="Q779" s="729" t="e">
        <f>IF(O779="",0,P779*L779/'9b-Vloeronderhoud'!$F$6)</f>
        <v>#DIV/0!</v>
      </c>
      <c r="R779" s="449">
        <v>1</v>
      </c>
      <c r="S779" s="672">
        <v>190</v>
      </c>
      <c r="T779" s="161" t="e">
        <f t="shared" si="63"/>
        <v>#DIV/0!</v>
      </c>
      <c r="U779" s="162">
        <f>IF(S779="nio",0,IF(S779&gt;0,VLOOKUP(G779,'3-Productie normen'!A:K,VLOOKUP(S779,'3-Productie normen'!L:N,3,FALSE),FALSE)))</f>
        <v>0</v>
      </c>
      <c r="V779" s="162">
        <f>VLOOKUP(G779,'3-Productie normen'!A:K,10,FALSE)</f>
        <v>1859.5880019121171</v>
      </c>
      <c r="W779" s="163">
        <f>VLOOKUP(G779,'3-Productie normen'!A:K,11,FALSE)</f>
        <v>0</v>
      </c>
      <c r="X779" s="163"/>
      <c r="Z779" s="129">
        <f t="shared" si="64"/>
        <v>1235</v>
      </c>
    </row>
    <row r="780" spans="1:26" ht="14.1" customHeight="1">
      <c r="A780" s="144">
        <v>786</v>
      </c>
      <c r="B780" s="160" t="s">
        <v>244</v>
      </c>
      <c r="C780" s="303" t="s">
        <v>673</v>
      </c>
      <c r="D780" s="304" t="s">
        <v>98</v>
      </c>
      <c r="E780" s="694" t="s">
        <v>663</v>
      </c>
      <c r="F780" s="303" t="s">
        <v>282</v>
      </c>
      <c r="G780" s="460" t="s">
        <v>881</v>
      </c>
      <c r="H780" s="303" t="s">
        <v>335</v>
      </c>
      <c r="I780" s="582" t="str">
        <f>VLOOKUP(H780,'9a-Typen vloeren'!$A$10:$B$40,2,FALSE)</f>
        <v>Schrobben</v>
      </c>
      <c r="J780" s="433">
        <v>6.7</v>
      </c>
      <c r="K780" s="433">
        <f t="shared" si="60"/>
        <v>0</v>
      </c>
      <c r="L780" s="433">
        <f t="shared" si="61"/>
        <v>0</v>
      </c>
      <c r="M780" s="433">
        <f t="shared" si="62"/>
        <v>0</v>
      </c>
      <c r="N780" s="672"/>
      <c r="O780" s="729">
        <f>IF(N780="",0,N780*K780/'9b-Vloeronderhoud'!$F$4)</f>
        <v>0</v>
      </c>
      <c r="P780" s="672"/>
      <c r="Q780" s="729" t="e">
        <f>IF(O780="",0,P780*L780/'9b-Vloeronderhoud'!$F$6)</f>
        <v>#DIV/0!</v>
      </c>
      <c r="R780" s="449">
        <v>1</v>
      </c>
      <c r="S780" s="672" t="s">
        <v>179</v>
      </c>
      <c r="T780" s="161">
        <f t="shared" si="63"/>
        <v>0</v>
      </c>
      <c r="U780" s="162">
        <f>IF(S780="nio",0,IF(S780&gt;0,VLOOKUP(G780,'3-Productie normen'!A:K,VLOOKUP(S780,'3-Productie normen'!L:N,3,FALSE),FALSE)))</f>
        <v>0</v>
      </c>
      <c r="V780" s="162">
        <f>VLOOKUP(G780,'3-Productie normen'!A:K,10,FALSE)</f>
        <v>5262.809993648526</v>
      </c>
      <c r="W780" s="163">
        <f>VLOOKUP(G780,'3-Productie normen'!A:K,11,FALSE)</f>
        <v>0</v>
      </c>
      <c r="X780" s="163"/>
      <c r="Z780" s="129">
        <f t="shared" si="64"/>
        <v>0</v>
      </c>
    </row>
    <row r="781" spans="1:26" ht="14.1" customHeight="1">
      <c r="A781" s="144">
        <v>787</v>
      </c>
      <c r="B781" s="160" t="s">
        <v>244</v>
      </c>
      <c r="C781" s="303" t="s">
        <v>673</v>
      </c>
      <c r="D781" s="304" t="s">
        <v>98</v>
      </c>
      <c r="E781" s="694" t="s">
        <v>664</v>
      </c>
      <c r="F781" s="303" t="s">
        <v>302</v>
      </c>
      <c r="G781" s="126" t="s">
        <v>18</v>
      </c>
      <c r="H781" s="303" t="s">
        <v>967</v>
      </c>
      <c r="I781" s="582" t="str">
        <f>VLOOKUP(H781,'9a-Typen vloeren'!$A$10:$B$40,2,FALSE)</f>
        <v>zie kwaliteitsontwerp</v>
      </c>
      <c r="J781" s="433">
        <v>6.8</v>
      </c>
      <c r="K781" s="433">
        <f t="shared" si="60"/>
        <v>0</v>
      </c>
      <c r="L781" s="433">
        <f t="shared" si="61"/>
        <v>0</v>
      </c>
      <c r="M781" s="433">
        <f t="shared" si="62"/>
        <v>0</v>
      </c>
      <c r="N781" s="672"/>
      <c r="O781" s="729">
        <f>IF(N781="",0,N781*K781/'9b-Vloeronderhoud'!$F$4)</f>
        <v>0</v>
      </c>
      <c r="P781" s="672"/>
      <c r="Q781" s="729" t="e">
        <f>IF(O781="",0,P781*L781/'9b-Vloeronderhoud'!$F$6)</f>
        <v>#DIV/0!</v>
      </c>
      <c r="R781" s="449">
        <v>1</v>
      </c>
      <c r="S781" s="672">
        <v>190</v>
      </c>
      <c r="T781" s="161" t="e">
        <f t="shared" si="63"/>
        <v>#DIV/0!</v>
      </c>
      <c r="U781" s="162">
        <f>IF(S781="nio",0,IF(S781&gt;0,VLOOKUP(G781,'3-Productie normen'!A:K,VLOOKUP(S781,'3-Productie normen'!L:N,3,FALSE),FALSE)))</f>
        <v>0</v>
      </c>
      <c r="V781" s="162">
        <f>VLOOKUP(G781,'3-Productie normen'!A:K,10,FALSE)</f>
        <v>1859.5880019121171</v>
      </c>
      <c r="W781" s="163">
        <f>VLOOKUP(G781,'3-Productie normen'!A:K,11,FALSE)</f>
        <v>0</v>
      </c>
      <c r="X781" s="163"/>
      <c r="Z781" s="129">
        <f t="shared" si="64"/>
        <v>1292</v>
      </c>
    </row>
    <row r="782" spans="1:26" ht="14.1" customHeight="1">
      <c r="A782" s="144">
        <v>788</v>
      </c>
      <c r="B782" s="160" t="s">
        <v>244</v>
      </c>
      <c r="C782" s="303" t="s">
        <v>673</v>
      </c>
      <c r="D782" s="304" t="s">
        <v>98</v>
      </c>
      <c r="E782" s="694" t="s">
        <v>665</v>
      </c>
      <c r="F782" s="303" t="s">
        <v>302</v>
      </c>
      <c r="G782" s="303" t="s">
        <v>18</v>
      </c>
      <c r="H782" s="303" t="s">
        <v>967</v>
      </c>
      <c r="I782" s="582" t="str">
        <f>VLOOKUP(H782,'9a-Typen vloeren'!$A$10:$B$40,2,FALSE)</f>
        <v>zie kwaliteitsontwerp</v>
      </c>
      <c r="J782" s="433">
        <v>7.5999999046325684</v>
      </c>
      <c r="K782" s="433">
        <f t="shared" si="60"/>
        <v>0</v>
      </c>
      <c r="L782" s="433">
        <f t="shared" si="61"/>
        <v>0</v>
      </c>
      <c r="M782" s="433">
        <f t="shared" si="62"/>
        <v>0</v>
      </c>
      <c r="N782" s="672"/>
      <c r="O782" s="729">
        <f>IF(N782="",0,N782*K782/'9b-Vloeronderhoud'!$F$4)</f>
        <v>0</v>
      </c>
      <c r="P782" s="672"/>
      <c r="Q782" s="729" t="e">
        <f>IF(O782="",0,P782*L782/'9b-Vloeronderhoud'!$F$6)</f>
        <v>#DIV/0!</v>
      </c>
      <c r="R782" s="449">
        <v>1</v>
      </c>
      <c r="S782" s="672">
        <v>190</v>
      </c>
      <c r="T782" s="161" t="e">
        <f t="shared" si="63"/>
        <v>#DIV/0!</v>
      </c>
      <c r="U782" s="162">
        <f>IF(S782="nio",0,IF(S782&gt;0,VLOOKUP(G782,'3-Productie normen'!A:K,VLOOKUP(S782,'3-Productie normen'!L:N,3,FALSE),FALSE)))</f>
        <v>0</v>
      </c>
      <c r="V782" s="162">
        <f>VLOOKUP(G782,'3-Productie normen'!A:K,10,FALSE)</f>
        <v>1859.5880019121171</v>
      </c>
      <c r="W782" s="163">
        <f>VLOOKUP(G782,'3-Productie normen'!A:K,11,FALSE)</f>
        <v>0</v>
      </c>
      <c r="X782" s="163"/>
      <c r="Z782" s="129">
        <f t="shared" si="64"/>
        <v>1443.999981880188</v>
      </c>
    </row>
    <row r="783" spans="1:26" ht="14.1" customHeight="1">
      <c r="A783" s="144">
        <v>789</v>
      </c>
      <c r="B783" s="160" t="s">
        <v>244</v>
      </c>
      <c r="C783" s="303" t="s">
        <v>673</v>
      </c>
      <c r="D783" s="304" t="s">
        <v>98</v>
      </c>
      <c r="E783" s="694" t="s">
        <v>666</v>
      </c>
      <c r="F783" s="303" t="s">
        <v>874</v>
      </c>
      <c r="G783" s="460" t="s">
        <v>881</v>
      </c>
      <c r="H783" s="303" t="s">
        <v>967</v>
      </c>
      <c r="I783" s="582" t="str">
        <f>VLOOKUP(H783,'9a-Typen vloeren'!$A$10:$B$40,2,FALSE)</f>
        <v>zie kwaliteitsontwerp</v>
      </c>
      <c r="J783" s="594">
        <v>0</v>
      </c>
      <c r="K783" s="433">
        <f t="shared" si="60"/>
        <v>0</v>
      </c>
      <c r="L783" s="433">
        <f t="shared" si="61"/>
        <v>0</v>
      </c>
      <c r="M783" s="433">
        <f t="shared" si="62"/>
        <v>0</v>
      </c>
      <c r="N783" s="672"/>
      <c r="O783" s="729">
        <f>IF(N783="",0,N783*K783/'9b-Vloeronderhoud'!$F$4)</f>
        <v>0</v>
      </c>
      <c r="P783" s="672"/>
      <c r="Q783" s="729" t="e">
        <f>IF(O783="",0,P783*L783/'9b-Vloeronderhoud'!$F$6)</f>
        <v>#DIV/0!</v>
      </c>
      <c r="R783" s="449">
        <v>1</v>
      </c>
      <c r="S783" s="726" t="s">
        <v>179</v>
      </c>
      <c r="T783" s="161">
        <f t="shared" si="63"/>
        <v>0</v>
      </c>
      <c r="U783" s="162">
        <f>IF(S783="nio",0,IF(S783&gt;0,VLOOKUP(G783,'3-Productie normen'!A:K,VLOOKUP(S783,'3-Productie normen'!L:N,3,FALSE),FALSE)))</f>
        <v>0</v>
      </c>
      <c r="V783" s="162">
        <f>VLOOKUP(G783,'3-Productie normen'!A:K,10,FALSE)</f>
        <v>5262.809993648526</v>
      </c>
      <c r="W783" s="163">
        <f>VLOOKUP(G783,'3-Productie normen'!A:K,11,FALSE)</f>
        <v>0</v>
      </c>
      <c r="X783" s="163"/>
      <c r="Z783" s="129">
        <f t="shared" si="64"/>
        <v>0</v>
      </c>
    </row>
    <row r="784" spans="1:26" ht="14.1" customHeight="1">
      <c r="A784" s="144">
        <v>790</v>
      </c>
      <c r="B784" s="160" t="s">
        <v>244</v>
      </c>
      <c r="C784" s="303" t="s">
        <v>673</v>
      </c>
      <c r="D784" s="304" t="s">
        <v>98</v>
      </c>
      <c r="E784" s="694" t="s">
        <v>667</v>
      </c>
      <c r="F784" s="303" t="s">
        <v>302</v>
      </c>
      <c r="G784" s="122" t="s">
        <v>18</v>
      </c>
      <c r="H784" s="303" t="s">
        <v>967</v>
      </c>
      <c r="I784" s="582" t="str">
        <f>VLOOKUP(H784,'9a-Typen vloeren'!$A$10:$B$40,2,FALSE)</f>
        <v>zie kwaliteitsontwerp</v>
      </c>
      <c r="J784" s="433">
        <v>13.2</v>
      </c>
      <c r="K784" s="433">
        <f t="shared" si="60"/>
        <v>0</v>
      </c>
      <c r="L784" s="433">
        <f t="shared" si="61"/>
        <v>0</v>
      </c>
      <c r="M784" s="433">
        <f t="shared" si="62"/>
        <v>0</v>
      </c>
      <c r="N784" s="672"/>
      <c r="O784" s="729">
        <f>IF(N784="",0,N784*K784/'9b-Vloeronderhoud'!$F$4)</f>
        <v>0</v>
      </c>
      <c r="P784" s="672"/>
      <c r="Q784" s="729" t="e">
        <f>IF(O784="",0,P784*L784/'9b-Vloeronderhoud'!$F$6)</f>
        <v>#DIV/0!</v>
      </c>
      <c r="R784" s="449">
        <v>1</v>
      </c>
      <c r="S784" s="672">
        <v>190</v>
      </c>
      <c r="T784" s="161" t="e">
        <f t="shared" si="63"/>
        <v>#DIV/0!</v>
      </c>
      <c r="U784" s="162">
        <f>IF(S784="nio",0,IF(S784&gt;0,VLOOKUP(G784,'3-Productie normen'!A:K,VLOOKUP(S784,'3-Productie normen'!L:N,3,FALSE),FALSE)))</f>
        <v>0</v>
      </c>
      <c r="V784" s="162">
        <f>VLOOKUP(G784,'3-Productie normen'!A:K,10,FALSE)</f>
        <v>1859.5880019121171</v>
      </c>
      <c r="W784" s="163">
        <f>VLOOKUP(G784,'3-Productie normen'!A:K,11,FALSE)</f>
        <v>0</v>
      </c>
      <c r="X784" s="163"/>
      <c r="Z784" s="129">
        <f t="shared" si="64"/>
        <v>2508</v>
      </c>
    </row>
    <row r="785" spans="1:26" ht="14.1" customHeight="1">
      <c r="A785" s="144">
        <v>791</v>
      </c>
      <c r="B785" s="160" t="s">
        <v>244</v>
      </c>
      <c r="C785" s="303" t="s">
        <v>673</v>
      </c>
      <c r="D785" s="304" t="s">
        <v>98</v>
      </c>
      <c r="E785" s="694" t="s">
        <v>668</v>
      </c>
      <c r="F785" s="303" t="s">
        <v>652</v>
      </c>
      <c r="G785" s="122" t="s">
        <v>286</v>
      </c>
      <c r="H785" s="516" t="s">
        <v>335</v>
      </c>
      <c r="I785" s="582" t="str">
        <f>VLOOKUP(H785,'9a-Typen vloeren'!$A$10:$B$40,2,FALSE)</f>
        <v>Schrobben</v>
      </c>
      <c r="J785" s="433">
        <v>11.1</v>
      </c>
      <c r="K785" s="433">
        <f t="shared" si="60"/>
        <v>0</v>
      </c>
      <c r="L785" s="433">
        <f t="shared" si="61"/>
        <v>11.1</v>
      </c>
      <c r="M785" s="433">
        <f t="shared" si="62"/>
        <v>0</v>
      </c>
      <c r="N785" s="672"/>
      <c r="O785" s="729">
        <f>IF(N785="",0,N785*K785/'9b-Vloeronderhoud'!$F$4)</f>
        <v>0</v>
      </c>
      <c r="P785" s="672">
        <v>3</v>
      </c>
      <c r="Q785" s="729" t="e">
        <f>IF(O785="",0,P785*L785/'9b-Vloeronderhoud'!$F$6)</f>
        <v>#DIV/0!</v>
      </c>
      <c r="R785" s="449">
        <v>1</v>
      </c>
      <c r="S785" s="672">
        <v>120</v>
      </c>
      <c r="T785" s="161" t="e">
        <f t="shared" si="63"/>
        <v>#DIV/0!</v>
      </c>
      <c r="U785" s="162">
        <f>IF(S785="nio",0,IF(S785&gt;0,VLOOKUP(G785,'3-Productie normen'!A:K,VLOOKUP(S785,'3-Productie normen'!L:N,3,FALSE),FALSE)))</f>
        <v>0</v>
      </c>
      <c r="V785" s="162">
        <f>VLOOKUP(G785,'3-Productie normen'!A:K,10,FALSE)</f>
        <v>6152.9500017547598</v>
      </c>
      <c r="W785" s="163">
        <f>VLOOKUP(G785,'3-Productie normen'!A:K,11,FALSE)</f>
        <v>0</v>
      </c>
      <c r="X785" s="163"/>
      <c r="Z785" s="129">
        <f t="shared" si="64"/>
        <v>1332</v>
      </c>
    </row>
    <row r="786" spans="1:26" ht="14.1" customHeight="1">
      <c r="A786" s="144">
        <v>792</v>
      </c>
      <c r="B786" s="160" t="s">
        <v>244</v>
      </c>
      <c r="C786" s="303" t="s">
        <v>673</v>
      </c>
      <c r="D786" s="304" t="s">
        <v>98</v>
      </c>
      <c r="E786" s="694" t="s">
        <v>328</v>
      </c>
      <c r="F786" s="303" t="s">
        <v>302</v>
      </c>
      <c r="G786" s="122" t="s">
        <v>18</v>
      </c>
      <c r="H786" s="303" t="s">
        <v>967</v>
      </c>
      <c r="I786" s="582" t="str">
        <f>VLOOKUP(H786,'9a-Typen vloeren'!$A$10:$B$40,2,FALSE)</f>
        <v>zie kwaliteitsontwerp</v>
      </c>
      <c r="J786" s="433">
        <v>5.5</v>
      </c>
      <c r="K786" s="433">
        <f t="shared" si="60"/>
        <v>0</v>
      </c>
      <c r="L786" s="433">
        <f t="shared" si="61"/>
        <v>0</v>
      </c>
      <c r="M786" s="433">
        <f t="shared" si="62"/>
        <v>0</v>
      </c>
      <c r="N786" s="672"/>
      <c r="O786" s="729">
        <f>IF(N786="",0,N786*K786/'9b-Vloeronderhoud'!$F$4)</f>
        <v>0</v>
      </c>
      <c r="P786" s="672"/>
      <c r="Q786" s="729" t="e">
        <f>IF(O786="",0,P786*L786/'9b-Vloeronderhoud'!$F$6)</f>
        <v>#DIV/0!</v>
      </c>
      <c r="R786" s="449">
        <v>1</v>
      </c>
      <c r="S786" s="672">
        <v>190</v>
      </c>
      <c r="T786" s="161" t="e">
        <f t="shared" si="63"/>
        <v>#DIV/0!</v>
      </c>
      <c r="U786" s="162">
        <f>IF(S786="nio",0,IF(S786&gt;0,VLOOKUP(G786,'3-Productie normen'!A:K,VLOOKUP(S786,'3-Productie normen'!L:N,3,FALSE),FALSE)))</f>
        <v>0</v>
      </c>
      <c r="V786" s="162">
        <f>VLOOKUP(G786,'3-Productie normen'!A:K,10,FALSE)</f>
        <v>1859.5880019121171</v>
      </c>
      <c r="W786" s="163">
        <f>VLOOKUP(G786,'3-Productie normen'!A:K,11,FALSE)</f>
        <v>0</v>
      </c>
      <c r="X786" s="163"/>
      <c r="Z786" s="129">
        <f t="shared" si="64"/>
        <v>1045</v>
      </c>
    </row>
    <row r="787" spans="1:26" ht="14.1" customHeight="1">
      <c r="A787" s="144">
        <v>793</v>
      </c>
      <c r="B787" s="160" t="s">
        <v>244</v>
      </c>
      <c r="C787" s="303" t="s">
        <v>673</v>
      </c>
      <c r="D787" s="304" t="s">
        <v>98</v>
      </c>
      <c r="E787" s="694" t="s">
        <v>669</v>
      </c>
      <c r="F787" s="303" t="s">
        <v>670</v>
      </c>
      <c r="G787" s="460" t="s">
        <v>18</v>
      </c>
      <c r="H787" s="303" t="s">
        <v>967</v>
      </c>
      <c r="I787" s="582" t="str">
        <f>VLOOKUP(H787,'9a-Typen vloeren'!$A$10:$B$40,2,FALSE)</f>
        <v>zie kwaliteitsontwerp</v>
      </c>
      <c r="J787" s="433">
        <v>3.75</v>
      </c>
      <c r="K787" s="433">
        <f t="shared" si="60"/>
        <v>0</v>
      </c>
      <c r="L787" s="433">
        <f t="shared" si="61"/>
        <v>0</v>
      </c>
      <c r="M787" s="433">
        <f t="shared" si="62"/>
        <v>0</v>
      </c>
      <c r="N787" s="672"/>
      <c r="O787" s="729">
        <f>IF(N787="",0,N787*K787/'9b-Vloeronderhoud'!$F$4)</f>
        <v>0</v>
      </c>
      <c r="P787" s="672"/>
      <c r="Q787" s="729" t="e">
        <f>IF(O787="",0,P787*L787/'9b-Vloeronderhoud'!$F$6)</f>
        <v>#DIV/0!</v>
      </c>
      <c r="R787" s="449">
        <v>1</v>
      </c>
      <c r="S787" s="672">
        <v>190</v>
      </c>
      <c r="T787" s="161" t="e">
        <f t="shared" si="63"/>
        <v>#DIV/0!</v>
      </c>
      <c r="U787" s="162">
        <f>IF(S787="nio",0,IF(S787&gt;0,VLOOKUP(G787,'3-Productie normen'!A:K,VLOOKUP(S787,'3-Productie normen'!L:N,3,FALSE),FALSE)))</f>
        <v>0</v>
      </c>
      <c r="V787" s="162">
        <f>VLOOKUP(G787,'3-Productie normen'!A:K,10,FALSE)</f>
        <v>1859.5880019121171</v>
      </c>
      <c r="W787" s="163">
        <f>VLOOKUP(G787,'3-Productie normen'!A:K,11,FALSE)</f>
        <v>0</v>
      </c>
      <c r="X787" s="163"/>
      <c r="Z787" s="129">
        <f t="shared" si="64"/>
        <v>712.5</v>
      </c>
    </row>
    <row r="788" spans="1:26" ht="14.1" customHeight="1">
      <c r="A788" s="144">
        <v>794</v>
      </c>
      <c r="B788" s="160" t="s">
        <v>244</v>
      </c>
      <c r="C788" s="303" t="s">
        <v>673</v>
      </c>
      <c r="D788" s="304" t="s">
        <v>98</v>
      </c>
      <c r="E788" s="694" t="s">
        <v>329</v>
      </c>
      <c r="F788" s="303" t="s">
        <v>341</v>
      </c>
      <c r="G788" s="460" t="s">
        <v>190</v>
      </c>
      <c r="H788" s="516" t="s">
        <v>101</v>
      </c>
      <c r="I788" s="582" t="str">
        <f>VLOOKUP(H788,'9a-Typen vloeren'!$A$10:$B$40,2,FALSE)</f>
        <v>Schrobben</v>
      </c>
      <c r="J788" s="433">
        <v>5.4499998092651367</v>
      </c>
      <c r="K788" s="433">
        <f t="shared" si="60"/>
        <v>0</v>
      </c>
      <c r="L788" s="433">
        <f t="shared" si="61"/>
        <v>5.4499998092651367</v>
      </c>
      <c r="M788" s="433">
        <f t="shared" si="62"/>
        <v>0</v>
      </c>
      <c r="N788" s="672"/>
      <c r="O788" s="729">
        <f>IF(N788="",0,N788*K788/'9b-Vloeronderhoud'!$F$4)</f>
        <v>0</v>
      </c>
      <c r="P788" s="672">
        <v>3</v>
      </c>
      <c r="Q788" s="729" t="e">
        <f>IF(O788="",0,P788*L788/'9b-Vloeronderhoud'!$F$6)</f>
        <v>#DIV/0!</v>
      </c>
      <c r="R788" s="449">
        <v>1</v>
      </c>
      <c r="S788" s="672">
        <v>40</v>
      </c>
      <c r="T788" s="161" t="e">
        <f t="shared" si="63"/>
        <v>#DIV/0!</v>
      </c>
      <c r="U788" s="162">
        <f>IF(S788="nio",0,IF(S788&gt;0,VLOOKUP(G788,'3-Productie normen'!A:K,VLOOKUP(S788,'3-Productie normen'!L:N,3,FALSE),FALSE)))</f>
        <v>0</v>
      </c>
      <c r="V788" s="162">
        <f>VLOOKUP(G788,'3-Productie normen'!A:K,10,FALSE)</f>
        <v>281.65000052452086</v>
      </c>
      <c r="W788" s="163">
        <f>VLOOKUP(G788,'3-Productie normen'!A:K,11,FALSE)</f>
        <v>0</v>
      </c>
      <c r="X788" s="163"/>
      <c r="Z788" s="129">
        <f t="shared" si="64"/>
        <v>217.99999237060547</v>
      </c>
    </row>
    <row r="789" spans="1:26" ht="14.1" customHeight="1">
      <c r="A789" s="144">
        <v>795</v>
      </c>
      <c r="B789" s="160" t="s">
        <v>244</v>
      </c>
      <c r="C789" s="303" t="s">
        <v>673</v>
      </c>
      <c r="D789" s="304" t="s">
        <v>98</v>
      </c>
      <c r="E789" s="694" t="s">
        <v>330</v>
      </c>
      <c r="F789" s="303" t="s">
        <v>282</v>
      </c>
      <c r="G789" s="460" t="s">
        <v>881</v>
      </c>
      <c r="H789" s="516" t="s">
        <v>100</v>
      </c>
      <c r="I789" s="582" t="str">
        <f>VLOOKUP(H789,'9a-Typen vloeren'!$A$10:$B$40,2,FALSE)</f>
        <v>Sprayen/ conserveren</v>
      </c>
      <c r="J789" s="433">
        <v>6.1500000953674316</v>
      </c>
      <c r="K789" s="433">
        <f t="shared" si="60"/>
        <v>0</v>
      </c>
      <c r="L789" s="433">
        <f t="shared" si="61"/>
        <v>0</v>
      </c>
      <c r="M789" s="433">
        <f t="shared" si="62"/>
        <v>0</v>
      </c>
      <c r="N789" s="672"/>
      <c r="O789" s="729">
        <f>IF(N789="",0,N789*K789/'9b-Vloeronderhoud'!$F$4)</f>
        <v>0</v>
      </c>
      <c r="P789" s="672"/>
      <c r="Q789" s="729" t="e">
        <f>IF(O789="",0,P789*L789/'9b-Vloeronderhoud'!$F$6)</f>
        <v>#DIV/0!</v>
      </c>
      <c r="R789" s="449">
        <v>1</v>
      </c>
      <c r="S789" s="672" t="s">
        <v>179</v>
      </c>
      <c r="T789" s="161">
        <f t="shared" si="63"/>
        <v>0</v>
      </c>
      <c r="U789" s="162">
        <f>IF(S789="nio",0,IF(S789&gt;0,VLOOKUP(G789,'3-Productie normen'!A:K,VLOOKUP(S789,'3-Productie normen'!L:N,3,FALSE),FALSE)))</f>
        <v>0</v>
      </c>
      <c r="V789" s="162">
        <f>VLOOKUP(G789,'3-Productie normen'!A:K,10,FALSE)</f>
        <v>5262.809993648526</v>
      </c>
      <c r="W789" s="163">
        <f>VLOOKUP(G789,'3-Productie normen'!A:K,11,FALSE)</f>
        <v>0</v>
      </c>
      <c r="X789" s="163"/>
      <c r="Z789" s="129">
        <f t="shared" si="64"/>
        <v>0</v>
      </c>
    </row>
    <row r="790" spans="1:26" ht="14.1" customHeight="1">
      <c r="A790" s="144">
        <v>796</v>
      </c>
      <c r="B790" s="160" t="s">
        <v>244</v>
      </c>
      <c r="C790" s="303" t="s">
        <v>673</v>
      </c>
      <c r="D790" s="304" t="s">
        <v>98</v>
      </c>
      <c r="E790" s="694" t="s">
        <v>331</v>
      </c>
      <c r="F790" s="303" t="s">
        <v>282</v>
      </c>
      <c r="G790" s="460" t="s">
        <v>881</v>
      </c>
      <c r="H790" s="516" t="s">
        <v>100</v>
      </c>
      <c r="I790" s="582" t="str">
        <f>VLOOKUP(H790,'9a-Typen vloeren'!$A$10:$B$40,2,FALSE)</f>
        <v>Sprayen/ conserveren</v>
      </c>
      <c r="J790" s="433">
        <v>17.549999237060547</v>
      </c>
      <c r="K790" s="433">
        <f t="shared" si="60"/>
        <v>0</v>
      </c>
      <c r="L790" s="433">
        <f t="shared" si="61"/>
        <v>0</v>
      </c>
      <c r="M790" s="433">
        <f t="shared" si="62"/>
        <v>0</v>
      </c>
      <c r="N790" s="672"/>
      <c r="O790" s="729">
        <f>IF(N790="",0,N790*K790/'9b-Vloeronderhoud'!$F$4)</f>
        <v>0</v>
      </c>
      <c r="P790" s="672"/>
      <c r="Q790" s="729" t="e">
        <f>IF(O790="",0,P790*L790/'9b-Vloeronderhoud'!$F$6)</f>
        <v>#DIV/0!</v>
      </c>
      <c r="R790" s="449">
        <v>1</v>
      </c>
      <c r="S790" s="672" t="s">
        <v>179</v>
      </c>
      <c r="T790" s="161">
        <f t="shared" si="63"/>
        <v>0</v>
      </c>
      <c r="U790" s="162">
        <f>IF(S790="nio",0,IF(S790&gt;0,VLOOKUP(G790,'3-Productie normen'!A:K,VLOOKUP(S790,'3-Productie normen'!L:N,3,FALSE),FALSE)))</f>
        <v>0</v>
      </c>
      <c r="V790" s="162">
        <f>VLOOKUP(G790,'3-Productie normen'!A:K,10,FALSE)</f>
        <v>5262.809993648526</v>
      </c>
      <c r="W790" s="163">
        <f>VLOOKUP(G790,'3-Productie normen'!A:K,11,FALSE)</f>
        <v>0</v>
      </c>
      <c r="X790" s="163"/>
      <c r="Z790" s="129">
        <f t="shared" si="64"/>
        <v>0</v>
      </c>
    </row>
    <row r="791" spans="1:26" ht="14.1" customHeight="1">
      <c r="A791" s="144">
        <v>797</v>
      </c>
      <c r="B791" s="160" t="s">
        <v>244</v>
      </c>
      <c r="C791" s="303" t="s">
        <v>673</v>
      </c>
      <c r="D791" s="304" t="s">
        <v>98</v>
      </c>
      <c r="E791" s="694" t="s">
        <v>671</v>
      </c>
      <c r="F791" s="303" t="s">
        <v>282</v>
      </c>
      <c r="G791" s="460" t="s">
        <v>881</v>
      </c>
      <c r="H791" s="516" t="s">
        <v>100</v>
      </c>
      <c r="I791" s="582" t="str">
        <f>VLOOKUP(H791,'9a-Typen vloeren'!$A$10:$B$40,2,FALSE)</f>
        <v>Sprayen/ conserveren</v>
      </c>
      <c r="J791" s="433">
        <v>11.949999809265137</v>
      </c>
      <c r="K791" s="433">
        <f t="shared" si="60"/>
        <v>0</v>
      </c>
      <c r="L791" s="433">
        <f t="shared" si="61"/>
        <v>0</v>
      </c>
      <c r="M791" s="433">
        <f t="shared" si="62"/>
        <v>0</v>
      </c>
      <c r="N791" s="672"/>
      <c r="O791" s="729">
        <f>IF(N791="",0,N791*K791/'9b-Vloeronderhoud'!$F$4)</f>
        <v>0</v>
      </c>
      <c r="P791" s="672"/>
      <c r="Q791" s="729" t="e">
        <f>IF(O791="",0,P791*L791/'9b-Vloeronderhoud'!$F$6)</f>
        <v>#DIV/0!</v>
      </c>
      <c r="R791" s="449">
        <v>1</v>
      </c>
      <c r="S791" s="672" t="s">
        <v>179</v>
      </c>
      <c r="T791" s="161">
        <f t="shared" si="63"/>
        <v>0</v>
      </c>
      <c r="U791" s="162">
        <f>IF(S791="nio",0,IF(S791&gt;0,VLOOKUP(G791,'3-Productie normen'!A:K,VLOOKUP(S791,'3-Productie normen'!L:N,3,FALSE),FALSE)))</f>
        <v>0</v>
      </c>
      <c r="V791" s="162">
        <f>VLOOKUP(G791,'3-Productie normen'!A:K,10,FALSE)</f>
        <v>5262.809993648526</v>
      </c>
      <c r="W791" s="163">
        <f>VLOOKUP(G791,'3-Productie normen'!A:K,11,FALSE)</f>
        <v>0</v>
      </c>
      <c r="X791" s="163"/>
      <c r="Z791" s="129">
        <f t="shared" si="64"/>
        <v>0</v>
      </c>
    </row>
    <row r="792" spans="1:26" ht="14.1" customHeight="1">
      <c r="A792" s="144">
        <v>798</v>
      </c>
      <c r="B792" s="160" t="s">
        <v>244</v>
      </c>
      <c r="C792" s="303" t="s">
        <v>673</v>
      </c>
      <c r="D792" s="304" t="s">
        <v>98</v>
      </c>
      <c r="E792" s="694" t="s">
        <v>406</v>
      </c>
      <c r="F792" s="303" t="s">
        <v>281</v>
      </c>
      <c r="G792" s="460" t="s">
        <v>881</v>
      </c>
      <c r="H792" s="516" t="s">
        <v>101</v>
      </c>
      <c r="I792" s="582" t="str">
        <f>VLOOKUP(H792,'9a-Typen vloeren'!$A$10:$B$40,2,FALSE)</f>
        <v>Schrobben</v>
      </c>
      <c r="J792" s="433">
        <v>6.9000000953674316</v>
      </c>
      <c r="K792" s="433">
        <f t="shared" si="60"/>
        <v>0</v>
      </c>
      <c r="L792" s="433">
        <f t="shared" si="61"/>
        <v>0</v>
      </c>
      <c r="M792" s="433">
        <f t="shared" si="62"/>
        <v>0</v>
      </c>
      <c r="N792" s="672"/>
      <c r="O792" s="729">
        <f>IF(N792="",0,N792*K792/'9b-Vloeronderhoud'!$F$4)</f>
        <v>0</v>
      </c>
      <c r="P792" s="672"/>
      <c r="Q792" s="729" t="e">
        <f>IF(O792="",0,P792*L792/'9b-Vloeronderhoud'!$F$6)</f>
        <v>#DIV/0!</v>
      </c>
      <c r="R792" s="449">
        <v>1</v>
      </c>
      <c r="S792" s="672" t="s">
        <v>179</v>
      </c>
      <c r="T792" s="161">
        <f t="shared" si="63"/>
        <v>0</v>
      </c>
      <c r="U792" s="162">
        <f>IF(S792="nio",0,IF(S792&gt;0,VLOOKUP(G792,'3-Productie normen'!A:K,VLOOKUP(S792,'3-Productie normen'!L:N,3,FALSE),FALSE)))</f>
        <v>0</v>
      </c>
      <c r="V792" s="162">
        <f>VLOOKUP(G792,'3-Productie normen'!A:K,10,FALSE)</f>
        <v>5262.809993648526</v>
      </c>
      <c r="W792" s="163">
        <f>VLOOKUP(G792,'3-Productie normen'!A:K,11,FALSE)</f>
        <v>0</v>
      </c>
      <c r="X792" s="163"/>
      <c r="Z792" s="129">
        <f t="shared" si="64"/>
        <v>0</v>
      </c>
    </row>
    <row r="793" spans="1:26" ht="14.1" customHeight="1">
      <c r="A793" s="144">
        <v>799</v>
      </c>
      <c r="B793" s="160" t="s">
        <v>244</v>
      </c>
      <c r="C793" s="303" t="s">
        <v>673</v>
      </c>
      <c r="D793" s="304" t="s">
        <v>98</v>
      </c>
      <c r="E793" s="694" t="s">
        <v>407</v>
      </c>
      <c r="F793" s="303" t="s">
        <v>543</v>
      </c>
      <c r="G793" s="460" t="s">
        <v>881</v>
      </c>
      <c r="H793" s="516" t="s">
        <v>375</v>
      </c>
      <c r="I793" s="582" t="str">
        <f>VLOOKUP(H793,'9a-Typen vloeren'!$A$10:$B$40,2,FALSE)</f>
        <v>n.v.t.</v>
      </c>
      <c r="J793" s="433">
        <v>2</v>
      </c>
      <c r="K793" s="433">
        <f t="shared" si="60"/>
        <v>0</v>
      </c>
      <c r="L793" s="433">
        <f t="shared" si="61"/>
        <v>0</v>
      </c>
      <c r="M793" s="433">
        <f t="shared" si="62"/>
        <v>0</v>
      </c>
      <c r="N793" s="672"/>
      <c r="O793" s="729">
        <f>IF(N793="",0,N793*K793/'9b-Vloeronderhoud'!$F$4)</f>
        <v>0</v>
      </c>
      <c r="P793" s="672"/>
      <c r="Q793" s="729" t="e">
        <f>IF(O793="",0,P793*L793/'9b-Vloeronderhoud'!$F$6)</f>
        <v>#DIV/0!</v>
      </c>
      <c r="R793" s="449">
        <v>1</v>
      </c>
      <c r="S793" s="672" t="s">
        <v>179</v>
      </c>
      <c r="T793" s="161">
        <f t="shared" si="63"/>
        <v>0</v>
      </c>
      <c r="U793" s="162">
        <f>IF(S793="nio",0,IF(S793&gt;0,VLOOKUP(G793,'3-Productie normen'!A:K,VLOOKUP(S793,'3-Productie normen'!L:N,3,FALSE),FALSE)))</f>
        <v>0</v>
      </c>
      <c r="V793" s="162">
        <f>VLOOKUP(G793,'3-Productie normen'!A:K,10,FALSE)</f>
        <v>5262.809993648526</v>
      </c>
      <c r="W793" s="163">
        <f>VLOOKUP(G793,'3-Productie normen'!A:K,11,FALSE)</f>
        <v>0</v>
      </c>
      <c r="X793" s="163"/>
      <c r="Z793" s="129">
        <f t="shared" si="64"/>
        <v>0</v>
      </c>
    </row>
    <row r="794" spans="1:26" ht="14.1" customHeight="1">
      <c r="A794" s="144">
        <v>832</v>
      </c>
      <c r="B794" s="525" t="s">
        <v>262</v>
      </c>
      <c r="C794" s="160" t="s">
        <v>562</v>
      </c>
      <c r="D794" s="132" t="s">
        <v>98</v>
      </c>
      <c r="E794" s="702">
        <v>1</v>
      </c>
      <c r="F794" s="126" t="s">
        <v>489</v>
      </c>
      <c r="G794" s="303" t="s">
        <v>99</v>
      </c>
      <c r="H794" s="492" t="s">
        <v>563</v>
      </c>
      <c r="I794" s="582" t="str">
        <f>VLOOKUP(H794,'9a-Typen vloeren'!$A$10:$B$40,2,FALSE)</f>
        <v>n.v.t.</v>
      </c>
      <c r="J794" s="586">
        <v>2.6</v>
      </c>
      <c r="K794" s="433">
        <f t="shared" si="60"/>
        <v>0</v>
      </c>
      <c r="L794" s="433">
        <f t="shared" si="61"/>
        <v>0</v>
      </c>
      <c r="M794" s="433">
        <f t="shared" si="62"/>
        <v>0</v>
      </c>
      <c r="N794" s="672"/>
      <c r="O794" s="729">
        <f>IF(N794="",0,N794*K794/'9b-Vloeronderhoud'!$F$4)</f>
        <v>0</v>
      </c>
      <c r="P794" s="672"/>
      <c r="Q794" s="729" t="e">
        <f>IF(O794="",0,P794*L794/'9b-Vloeronderhoud'!$F$6)</f>
        <v>#DIV/0!</v>
      </c>
      <c r="R794" s="449">
        <v>1</v>
      </c>
      <c r="S794" s="672">
        <v>190</v>
      </c>
      <c r="T794" s="161" t="e">
        <f t="shared" si="63"/>
        <v>#DIV/0!</v>
      </c>
      <c r="U794" s="162">
        <f>IF(S794="nio",0,IF(S794&gt;0,VLOOKUP(G794,'3-Productie normen'!A:K,VLOOKUP(S794,'3-Productie normen'!L:N,3,FALSE),FALSE)))</f>
        <v>0</v>
      </c>
      <c r="V794" s="162">
        <f>VLOOKUP(G794,'3-Productie normen'!A:K,10,FALSE)</f>
        <v>726.97999910354622</v>
      </c>
      <c r="W794" s="163">
        <f>VLOOKUP(G794,'3-Productie normen'!A:K,11,FALSE)</f>
        <v>0</v>
      </c>
      <c r="X794" s="163"/>
      <c r="Z794" s="129">
        <f t="shared" si="64"/>
        <v>494</v>
      </c>
    </row>
    <row r="795" spans="1:26" ht="14.1" customHeight="1">
      <c r="A795" s="144">
        <v>833</v>
      </c>
      <c r="B795" s="525" t="s">
        <v>262</v>
      </c>
      <c r="C795" s="160" t="s">
        <v>562</v>
      </c>
      <c r="D795" s="132" t="s">
        <v>98</v>
      </c>
      <c r="E795" s="702">
        <v>2</v>
      </c>
      <c r="F795" s="494" t="s">
        <v>470</v>
      </c>
      <c r="G795" s="492" t="s">
        <v>221</v>
      </c>
      <c r="H795" s="492" t="s">
        <v>564</v>
      </c>
      <c r="I795" s="582" t="str">
        <f>VLOOKUP(H795,'9a-Typen vloeren'!$A$10:$B$40,2,FALSE)</f>
        <v>Schrobben</v>
      </c>
      <c r="J795" s="586">
        <v>55.9</v>
      </c>
      <c r="K795" s="433">
        <f t="shared" si="60"/>
        <v>0</v>
      </c>
      <c r="L795" s="433">
        <f t="shared" si="61"/>
        <v>55.9</v>
      </c>
      <c r="M795" s="433">
        <f t="shared" si="62"/>
        <v>0</v>
      </c>
      <c r="N795" s="672"/>
      <c r="O795" s="729">
        <f>IF(N795="",0,N795*K795/'9b-Vloeronderhoud'!$F$4)</f>
        <v>0</v>
      </c>
      <c r="P795" s="672"/>
      <c r="Q795" s="729" t="e">
        <f>IF(O795="",0,P795*L795/'9b-Vloeronderhoud'!$F$6)</f>
        <v>#DIV/0!</v>
      </c>
      <c r="R795" s="449">
        <v>1</v>
      </c>
      <c r="S795" s="688" t="s">
        <v>179</v>
      </c>
      <c r="T795" s="161">
        <f t="shared" si="63"/>
        <v>0</v>
      </c>
      <c r="U795" s="162">
        <f>IF(S795="nio",0,IF(S795&gt;0,VLOOKUP(G795,'3-Productie normen'!A:K,VLOOKUP(S795,'3-Productie normen'!L:N,3,FALSE),FALSE)))</f>
        <v>0</v>
      </c>
      <c r="V795" s="162">
        <f>VLOOKUP(G795,'3-Productie normen'!A:K,10,FALSE)</f>
        <v>16013.110036668773</v>
      </c>
      <c r="W795" s="163">
        <f>VLOOKUP(G795,'3-Productie normen'!A:K,11,FALSE)</f>
        <v>0</v>
      </c>
      <c r="X795" s="163"/>
      <c r="Z795" s="129">
        <f t="shared" si="64"/>
        <v>0</v>
      </c>
    </row>
    <row r="796" spans="1:26" ht="14.1" customHeight="1">
      <c r="A796" s="144">
        <v>834</v>
      </c>
      <c r="B796" s="525" t="s">
        <v>262</v>
      </c>
      <c r="C796" s="160" t="s">
        <v>562</v>
      </c>
      <c r="D796" s="132" t="s">
        <v>98</v>
      </c>
      <c r="E796" s="702">
        <v>3</v>
      </c>
      <c r="F796" s="494" t="s">
        <v>470</v>
      </c>
      <c r="G796" s="492" t="s">
        <v>221</v>
      </c>
      <c r="H796" s="492" t="s">
        <v>564</v>
      </c>
      <c r="I796" s="582" t="str">
        <f>VLOOKUP(H796,'9a-Typen vloeren'!$A$10:$B$40,2,FALSE)</f>
        <v>Schrobben</v>
      </c>
      <c r="J796" s="586">
        <v>55.9</v>
      </c>
      <c r="K796" s="433">
        <f t="shared" si="60"/>
        <v>0</v>
      </c>
      <c r="L796" s="433">
        <f t="shared" si="61"/>
        <v>55.9</v>
      </c>
      <c r="M796" s="433">
        <f t="shared" si="62"/>
        <v>0</v>
      </c>
      <c r="N796" s="672"/>
      <c r="O796" s="729">
        <f>IF(N796="",0,N796*K796/'9b-Vloeronderhoud'!$F$4)</f>
        <v>0</v>
      </c>
      <c r="P796" s="672"/>
      <c r="Q796" s="729" t="e">
        <f>IF(O796="",0,P796*L796/'9b-Vloeronderhoud'!$F$6)</f>
        <v>#DIV/0!</v>
      </c>
      <c r="R796" s="449">
        <v>1</v>
      </c>
      <c r="S796" s="688" t="s">
        <v>179</v>
      </c>
      <c r="T796" s="161">
        <f t="shared" si="63"/>
        <v>0</v>
      </c>
      <c r="U796" s="162">
        <f>IF(S796="nio",0,IF(S796&gt;0,VLOOKUP(G796,'3-Productie normen'!A:K,VLOOKUP(S796,'3-Productie normen'!L:N,3,FALSE),FALSE)))</f>
        <v>0</v>
      </c>
      <c r="V796" s="162">
        <f>VLOOKUP(G796,'3-Productie normen'!A:K,10,FALSE)</f>
        <v>16013.110036668773</v>
      </c>
      <c r="W796" s="163">
        <f>VLOOKUP(G796,'3-Productie normen'!A:K,11,FALSE)</f>
        <v>0</v>
      </c>
      <c r="X796" s="163"/>
      <c r="Z796" s="129">
        <f t="shared" si="64"/>
        <v>0</v>
      </c>
    </row>
    <row r="797" spans="1:26" ht="14.1" customHeight="1">
      <c r="A797" s="144">
        <v>835</v>
      </c>
      <c r="B797" s="525" t="s">
        <v>262</v>
      </c>
      <c r="C797" s="160" t="s">
        <v>562</v>
      </c>
      <c r="D797" s="132" t="s">
        <v>98</v>
      </c>
      <c r="E797" s="702">
        <v>4</v>
      </c>
      <c r="F797" s="494" t="s">
        <v>382</v>
      </c>
      <c r="G797" s="460" t="s">
        <v>881</v>
      </c>
      <c r="H797" s="504" t="s">
        <v>375</v>
      </c>
      <c r="I797" s="582" t="str">
        <f>VLOOKUP(H797,'9a-Typen vloeren'!$A$10:$B$40,2,FALSE)</f>
        <v>n.v.t.</v>
      </c>
      <c r="J797" s="586">
        <v>2</v>
      </c>
      <c r="K797" s="433">
        <f t="shared" si="60"/>
        <v>0</v>
      </c>
      <c r="L797" s="433">
        <f t="shared" si="61"/>
        <v>0</v>
      </c>
      <c r="M797" s="433">
        <f t="shared" si="62"/>
        <v>0</v>
      </c>
      <c r="N797" s="672"/>
      <c r="O797" s="729">
        <f>IF(N797="",0,N797*K797/'9b-Vloeronderhoud'!$F$4)</f>
        <v>0</v>
      </c>
      <c r="P797" s="672"/>
      <c r="Q797" s="729" t="e">
        <f>IF(O797="",0,P797*L797/'9b-Vloeronderhoud'!$F$6)</f>
        <v>#DIV/0!</v>
      </c>
      <c r="R797" s="449">
        <v>1</v>
      </c>
      <c r="S797" s="672" t="s">
        <v>179</v>
      </c>
      <c r="T797" s="161">
        <f t="shared" si="63"/>
        <v>0</v>
      </c>
      <c r="U797" s="162">
        <f>IF(S797="nio",0,IF(S797&gt;0,VLOOKUP(G797,'3-Productie normen'!A:K,VLOOKUP(S797,'3-Productie normen'!L:N,3,FALSE),FALSE)))</f>
        <v>0</v>
      </c>
      <c r="V797" s="162">
        <f>VLOOKUP(G797,'3-Productie normen'!A:K,10,FALSE)</f>
        <v>5262.809993648526</v>
      </c>
      <c r="W797" s="163">
        <f>VLOOKUP(G797,'3-Productie normen'!A:K,11,FALSE)</f>
        <v>0</v>
      </c>
      <c r="X797" s="163"/>
      <c r="Z797" s="129">
        <f t="shared" si="64"/>
        <v>0</v>
      </c>
    </row>
    <row r="798" spans="1:26" ht="14.1" customHeight="1">
      <c r="A798" s="144">
        <v>836</v>
      </c>
      <c r="B798" s="525" t="s">
        <v>262</v>
      </c>
      <c r="C798" s="160" t="s">
        <v>562</v>
      </c>
      <c r="D798" s="132" t="s">
        <v>98</v>
      </c>
      <c r="E798" s="702">
        <v>5</v>
      </c>
      <c r="F798" s="494" t="s">
        <v>452</v>
      </c>
      <c r="G798" s="303" t="s">
        <v>18</v>
      </c>
      <c r="H798" s="492" t="s">
        <v>968</v>
      </c>
      <c r="I798" s="582" t="str">
        <f>VLOOKUP(H798,'9a-Typen vloeren'!$A$10:$B$40,2,FALSE)</f>
        <v>zie kwaliteitsontwerp</v>
      </c>
      <c r="J798" s="586">
        <v>5.0999999999999996</v>
      </c>
      <c r="K798" s="433">
        <f t="shared" si="60"/>
        <v>0</v>
      </c>
      <c r="L798" s="433">
        <f t="shared" si="61"/>
        <v>0</v>
      </c>
      <c r="M798" s="433">
        <f t="shared" si="62"/>
        <v>0</v>
      </c>
      <c r="N798" s="672"/>
      <c r="O798" s="729">
        <f>IF(N798="",0,N798*K798/'9b-Vloeronderhoud'!$F$4)</f>
        <v>0</v>
      </c>
      <c r="P798" s="672"/>
      <c r="Q798" s="729" t="e">
        <f>IF(O798="",0,P798*L798/'9b-Vloeronderhoud'!$F$6)</f>
        <v>#DIV/0!</v>
      </c>
      <c r="R798" s="449">
        <v>1</v>
      </c>
      <c r="S798" s="672">
        <v>190</v>
      </c>
      <c r="T798" s="161" t="e">
        <f t="shared" si="63"/>
        <v>#DIV/0!</v>
      </c>
      <c r="U798" s="162">
        <f>IF(S798="nio",0,IF(S798&gt;0,VLOOKUP(G798,'3-Productie normen'!A:K,VLOOKUP(S798,'3-Productie normen'!L:N,3,FALSE),FALSE)))</f>
        <v>0</v>
      </c>
      <c r="V798" s="162">
        <f>VLOOKUP(G798,'3-Productie normen'!A:K,10,FALSE)</f>
        <v>1859.5880019121171</v>
      </c>
      <c r="W798" s="163">
        <f>VLOOKUP(G798,'3-Productie normen'!A:K,11,FALSE)</f>
        <v>0</v>
      </c>
      <c r="X798" s="163"/>
      <c r="Z798" s="129">
        <f t="shared" si="64"/>
        <v>968.99999999999989</v>
      </c>
    </row>
    <row r="799" spans="1:26" ht="14.1" customHeight="1">
      <c r="A799" s="144">
        <v>837</v>
      </c>
      <c r="B799" s="525" t="s">
        <v>262</v>
      </c>
      <c r="C799" s="160" t="s">
        <v>562</v>
      </c>
      <c r="D799" s="132" t="s">
        <v>98</v>
      </c>
      <c r="E799" s="702">
        <v>6</v>
      </c>
      <c r="F799" s="494" t="s">
        <v>452</v>
      </c>
      <c r="G799" s="303" t="s">
        <v>18</v>
      </c>
      <c r="H799" s="492" t="s">
        <v>968</v>
      </c>
      <c r="I799" s="582" t="str">
        <f>VLOOKUP(H799,'9a-Typen vloeren'!$A$10:$B$40,2,FALSE)</f>
        <v>zie kwaliteitsontwerp</v>
      </c>
      <c r="J799" s="586">
        <v>5.0999999999999996</v>
      </c>
      <c r="K799" s="433">
        <f t="shared" si="60"/>
        <v>0</v>
      </c>
      <c r="L799" s="433">
        <f t="shared" si="61"/>
        <v>0</v>
      </c>
      <c r="M799" s="433">
        <f t="shared" si="62"/>
        <v>0</v>
      </c>
      <c r="N799" s="672"/>
      <c r="O799" s="729">
        <f>IF(N799="",0,N799*K799/'9b-Vloeronderhoud'!$F$4)</f>
        <v>0</v>
      </c>
      <c r="P799" s="672"/>
      <c r="Q799" s="729" t="e">
        <f>IF(O799="",0,P799*L799/'9b-Vloeronderhoud'!$F$6)</f>
        <v>#DIV/0!</v>
      </c>
      <c r="R799" s="449">
        <v>1</v>
      </c>
      <c r="S799" s="672">
        <v>190</v>
      </c>
      <c r="T799" s="161" t="e">
        <f t="shared" si="63"/>
        <v>#DIV/0!</v>
      </c>
      <c r="U799" s="162">
        <f>IF(S799="nio",0,IF(S799&gt;0,VLOOKUP(G799,'3-Productie normen'!A:K,VLOOKUP(S799,'3-Productie normen'!L:N,3,FALSE),FALSE)))</f>
        <v>0</v>
      </c>
      <c r="V799" s="162">
        <f>VLOOKUP(G799,'3-Productie normen'!A:K,10,FALSE)</f>
        <v>1859.5880019121171</v>
      </c>
      <c r="W799" s="163">
        <f>VLOOKUP(G799,'3-Productie normen'!A:K,11,FALSE)</f>
        <v>0</v>
      </c>
      <c r="X799" s="163"/>
      <c r="Z799" s="129">
        <f t="shared" si="64"/>
        <v>968.99999999999989</v>
      </c>
    </row>
    <row r="800" spans="1:26" ht="14.1" customHeight="1">
      <c r="A800" s="144">
        <v>838</v>
      </c>
      <c r="B800" s="525" t="s">
        <v>262</v>
      </c>
      <c r="C800" s="160" t="s">
        <v>562</v>
      </c>
      <c r="D800" s="132" t="s">
        <v>98</v>
      </c>
      <c r="E800" s="702">
        <v>7</v>
      </c>
      <c r="F800" s="494" t="s">
        <v>489</v>
      </c>
      <c r="G800" s="303" t="s">
        <v>99</v>
      </c>
      <c r="H800" s="492" t="s">
        <v>563</v>
      </c>
      <c r="I800" s="582" t="str">
        <f>VLOOKUP(H800,'9a-Typen vloeren'!$A$10:$B$40,2,FALSE)</f>
        <v>n.v.t.</v>
      </c>
      <c r="J800" s="586">
        <v>4.7</v>
      </c>
      <c r="K800" s="433">
        <f t="shared" si="60"/>
        <v>0</v>
      </c>
      <c r="L800" s="433">
        <f t="shared" si="61"/>
        <v>0</v>
      </c>
      <c r="M800" s="433">
        <f t="shared" si="62"/>
        <v>0</v>
      </c>
      <c r="N800" s="672"/>
      <c r="O800" s="729">
        <f>IF(N800="",0,N800*K800/'9b-Vloeronderhoud'!$F$4)</f>
        <v>0</v>
      </c>
      <c r="P800" s="672"/>
      <c r="Q800" s="729" t="e">
        <f>IF(O800="",0,P800*L800/'9b-Vloeronderhoud'!$F$6)</f>
        <v>#DIV/0!</v>
      </c>
      <c r="R800" s="449">
        <v>1</v>
      </c>
      <c r="S800" s="672">
        <v>190</v>
      </c>
      <c r="T800" s="161" t="e">
        <f t="shared" si="63"/>
        <v>#DIV/0!</v>
      </c>
      <c r="U800" s="162">
        <f>IF(S800="nio",0,IF(S800&gt;0,VLOOKUP(G800,'3-Productie normen'!A:K,VLOOKUP(S800,'3-Productie normen'!L:N,3,FALSE),FALSE)))</f>
        <v>0</v>
      </c>
      <c r="V800" s="162">
        <f>VLOOKUP(G800,'3-Productie normen'!A:K,10,FALSE)</f>
        <v>726.97999910354622</v>
      </c>
      <c r="W800" s="163">
        <f>VLOOKUP(G800,'3-Productie normen'!A:K,11,FALSE)</f>
        <v>0</v>
      </c>
      <c r="X800" s="163"/>
      <c r="Z800" s="129">
        <f t="shared" si="64"/>
        <v>893</v>
      </c>
    </row>
    <row r="801" spans="1:26" ht="14.1" customHeight="1">
      <c r="A801" s="144">
        <v>839</v>
      </c>
      <c r="B801" s="525" t="s">
        <v>262</v>
      </c>
      <c r="C801" s="160" t="s">
        <v>562</v>
      </c>
      <c r="D801" s="132" t="s">
        <v>98</v>
      </c>
      <c r="E801" s="702">
        <v>8</v>
      </c>
      <c r="F801" s="494" t="s">
        <v>346</v>
      </c>
      <c r="G801" s="460" t="s">
        <v>881</v>
      </c>
      <c r="H801" s="504" t="s">
        <v>375</v>
      </c>
      <c r="I801" s="582" t="str">
        <f>VLOOKUP(H801,'9a-Typen vloeren'!$A$10:$B$40,2,FALSE)</f>
        <v>n.v.t.</v>
      </c>
      <c r="J801" s="586">
        <v>4.8</v>
      </c>
      <c r="K801" s="433">
        <f t="shared" si="60"/>
        <v>0</v>
      </c>
      <c r="L801" s="433">
        <f t="shared" si="61"/>
        <v>0</v>
      </c>
      <c r="M801" s="433">
        <f t="shared" si="62"/>
        <v>0</v>
      </c>
      <c r="N801" s="672"/>
      <c r="O801" s="729">
        <f>IF(N801="",0,N801*K801/'9b-Vloeronderhoud'!$F$4)</f>
        <v>0</v>
      </c>
      <c r="P801" s="672"/>
      <c r="Q801" s="729" t="e">
        <f>IF(O801="",0,P801*L801/'9b-Vloeronderhoud'!$F$6)</f>
        <v>#DIV/0!</v>
      </c>
      <c r="R801" s="449">
        <v>1</v>
      </c>
      <c r="S801" s="672" t="s">
        <v>179</v>
      </c>
      <c r="T801" s="161">
        <f t="shared" si="63"/>
        <v>0</v>
      </c>
      <c r="U801" s="162">
        <f>IF(S801="nio",0,IF(S801&gt;0,VLOOKUP(G801,'3-Productie normen'!A:K,VLOOKUP(S801,'3-Productie normen'!L:N,3,FALSE),FALSE)))</f>
        <v>0</v>
      </c>
      <c r="V801" s="162">
        <f>VLOOKUP(G801,'3-Productie normen'!A:K,10,FALSE)</f>
        <v>5262.809993648526</v>
      </c>
      <c r="W801" s="163">
        <f>VLOOKUP(G801,'3-Productie normen'!A:K,11,FALSE)</f>
        <v>0</v>
      </c>
      <c r="X801" s="163"/>
      <c r="Z801" s="129">
        <f t="shared" si="64"/>
        <v>0</v>
      </c>
    </row>
    <row r="802" spans="1:26" ht="14.1" customHeight="1">
      <c r="A802" s="144">
        <v>840</v>
      </c>
      <c r="B802" s="525" t="s">
        <v>262</v>
      </c>
      <c r="C802" s="160" t="s">
        <v>562</v>
      </c>
      <c r="D802" s="132" t="s">
        <v>98</v>
      </c>
      <c r="E802" s="702">
        <v>9</v>
      </c>
      <c r="F802" s="494" t="s">
        <v>546</v>
      </c>
      <c r="G802" s="460" t="s">
        <v>881</v>
      </c>
      <c r="H802" s="504" t="s">
        <v>375</v>
      </c>
      <c r="I802" s="582" t="str">
        <f>VLOOKUP(H802,'9a-Typen vloeren'!$A$10:$B$40,2,FALSE)</f>
        <v>n.v.t.</v>
      </c>
      <c r="J802" s="586">
        <v>18.7</v>
      </c>
      <c r="K802" s="433">
        <f t="shared" si="60"/>
        <v>0</v>
      </c>
      <c r="L802" s="433">
        <f t="shared" si="61"/>
        <v>0</v>
      </c>
      <c r="M802" s="433">
        <f t="shared" si="62"/>
        <v>0</v>
      </c>
      <c r="N802" s="672"/>
      <c r="O802" s="729">
        <f>IF(N802="",0,N802*K802/'9b-Vloeronderhoud'!$F$4)</f>
        <v>0</v>
      </c>
      <c r="P802" s="672"/>
      <c r="Q802" s="729" t="e">
        <f>IF(O802="",0,P802*L802/'9b-Vloeronderhoud'!$F$6)</f>
        <v>#DIV/0!</v>
      </c>
      <c r="R802" s="449">
        <v>1</v>
      </c>
      <c r="S802" s="672" t="s">
        <v>179</v>
      </c>
      <c r="T802" s="161">
        <f t="shared" si="63"/>
        <v>0</v>
      </c>
      <c r="U802" s="162">
        <f>IF(S802="nio",0,IF(S802&gt;0,VLOOKUP(G802,'3-Productie normen'!A:K,VLOOKUP(S802,'3-Productie normen'!L:N,3,FALSE),FALSE)))</f>
        <v>0</v>
      </c>
      <c r="V802" s="162">
        <f>VLOOKUP(G802,'3-Productie normen'!A:K,10,FALSE)</f>
        <v>5262.809993648526</v>
      </c>
      <c r="W802" s="163">
        <f>VLOOKUP(G802,'3-Productie normen'!A:K,11,FALSE)</f>
        <v>0</v>
      </c>
      <c r="X802" s="163"/>
      <c r="Z802" s="129">
        <f t="shared" si="64"/>
        <v>0</v>
      </c>
    </row>
    <row r="803" spans="1:26" ht="14.1" customHeight="1">
      <c r="A803" s="144">
        <v>841</v>
      </c>
      <c r="B803" s="525" t="s">
        <v>262</v>
      </c>
      <c r="C803" s="160" t="s">
        <v>562</v>
      </c>
      <c r="D803" s="132" t="s">
        <v>98</v>
      </c>
      <c r="E803" s="702">
        <v>10</v>
      </c>
      <c r="F803" s="494" t="s">
        <v>547</v>
      </c>
      <c r="G803" s="122" t="s">
        <v>221</v>
      </c>
      <c r="H803" s="504" t="s">
        <v>375</v>
      </c>
      <c r="I803" s="582" t="str">
        <f>VLOOKUP(H803,'9a-Typen vloeren'!$A$10:$B$40,2,FALSE)</f>
        <v>n.v.t.</v>
      </c>
      <c r="J803" s="586">
        <v>56</v>
      </c>
      <c r="K803" s="433">
        <f t="shared" si="60"/>
        <v>0</v>
      </c>
      <c r="L803" s="433">
        <f t="shared" si="61"/>
        <v>0</v>
      </c>
      <c r="M803" s="433">
        <f t="shared" si="62"/>
        <v>0</v>
      </c>
      <c r="N803" s="672"/>
      <c r="O803" s="729">
        <f>IF(N803="",0,N803*K803/'9b-Vloeronderhoud'!$F$4)</f>
        <v>0</v>
      </c>
      <c r="P803" s="672"/>
      <c r="Q803" s="729" t="e">
        <f>IF(O803="",0,P803*L803/'9b-Vloeronderhoud'!$F$6)</f>
        <v>#DIV/0!</v>
      </c>
      <c r="R803" s="449">
        <v>1</v>
      </c>
      <c r="S803" s="688" t="s">
        <v>179</v>
      </c>
      <c r="T803" s="161">
        <f t="shared" si="63"/>
        <v>0</v>
      </c>
      <c r="U803" s="162">
        <f>IF(S803="nio",0,IF(S803&gt;0,VLOOKUP(G803,'3-Productie normen'!A:K,VLOOKUP(S803,'3-Productie normen'!L:N,3,FALSE),FALSE)))</f>
        <v>0</v>
      </c>
      <c r="V803" s="162">
        <f>VLOOKUP(G803,'3-Productie normen'!A:K,10,FALSE)</f>
        <v>16013.110036668773</v>
      </c>
      <c r="W803" s="163">
        <f>VLOOKUP(G803,'3-Productie normen'!A:K,11,FALSE)</f>
        <v>0</v>
      </c>
      <c r="X803" s="163"/>
      <c r="Z803" s="129">
        <f t="shared" si="64"/>
        <v>0</v>
      </c>
    </row>
    <row r="804" spans="1:26" ht="14.1" customHeight="1">
      <c r="A804" s="144">
        <v>842</v>
      </c>
      <c r="B804" s="525" t="s">
        <v>262</v>
      </c>
      <c r="C804" s="160" t="s">
        <v>562</v>
      </c>
      <c r="D804" s="132" t="s">
        <v>98</v>
      </c>
      <c r="E804" s="702">
        <v>11</v>
      </c>
      <c r="F804" s="303" t="s">
        <v>548</v>
      </c>
      <c r="G804" s="642" t="s">
        <v>548</v>
      </c>
      <c r="H804" s="492" t="s">
        <v>564</v>
      </c>
      <c r="I804" s="582" t="str">
        <f>VLOOKUP(H804,'9a-Typen vloeren'!$A$10:$B$40,2,FALSE)</f>
        <v>Schrobben</v>
      </c>
      <c r="J804" s="586">
        <v>80.8</v>
      </c>
      <c r="K804" s="433">
        <f t="shared" si="60"/>
        <v>0</v>
      </c>
      <c r="L804" s="433">
        <f t="shared" si="61"/>
        <v>80.8</v>
      </c>
      <c r="M804" s="433">
        <f t="shared" si="62"/>
        <v>0</v>
      </c>
      <c r="N804" s="672"/>
      <c r="O804" s="729">
        <f>IF(N804="",0,N804*K804/'9b-Vloeronderhoud'!$F$4)</f>
        <v>0</v>
      </c>
      <c r="P804" s="672">
        <v>3</v>
      </c>
      <c r="Q804" s="729" t="e">
        <f>IF(O804="",0,P804*L804/'9b-Vloeronderhoud'!$F$6)</f>
        <v>#DIV/0!</v>
      </c>
      <c r="R804" s="449">
        <v>1</v>
      </c>
      <c r="S804" s="672">
        <v>80</v>
      </c>
      <c r="T804" s="161" t="e">
        <f t="shared" si="63"/>
        <v>#DIV/0!</v>
      </c>
      <c r="U804" s="162">
        <f>IF(S804="nio",0,IF(S804&gt;0,VLOOKUP(G804,'3-Productie normen'!A:K,VLOOKUP(S804,'3-Productie normen'!L:N,3,FALSE),FALSE)))</f>
        <v>0</v>
      </c>
      <c r="V804" s="162">
        <f>VLOOKUP(G804,'3-Productie normen'!A:K,10,FALSE)</f>
        <v>994.10000000000014</v>
      </c>
      <c r="W804" s="163">
        <f>VLOOKUP(G804,'3-Productie normen'!A:K,11,FALSE)</f>
        <v>0</v>
      </c>
      <c r="X804" s="163"/>
      <c r="Z804" s="129">
        <f t="shared" si="64"/>
        <v>6464</v>
      </c>
    </row>
    <row r="805" spans="1:26" ht="14.1" customHeight="1">
      <c r="A805" s="144">
        <v>843</v>
      </c>
      <c r="B805" s="525" t="s">
        <v>262</v>
      </c>
      <c r="C805" s="160" t="s">
        <v>562</v>
      </c>
      <c r="D805" s="132" t="s">
        <v>98</v>
      </c>
      <c r="E805" s="702">
        <v>12</v>
      </c>
      <c r="F805" s="494" t="s">
        <v>549</v>
      </c>
      <c r="G805" s="460" t="s">
        <v>881</v>
      </c>
      <c r="H805" s="504" t="s">
        <v>375</v>
      </c>
      <c r="I805" s="582" t="str">
        <f>VLOOKUP(H805,'9a-Typen vloeren'!$A$10:$B$40,2,FALSE)</f>
        <v>n.v.t.</v>
      </c>
      <c r="J805" s="586">
        <v>8.1999999999999993</v>
      </c>
      <c r="K805" s="433">
        <f t="shared" ref="K805:K868" si="65">IF(G805="niet in onderhoud",0,IF(I805="sprayen/ conserveren",J805,0))</f>
        <v>0</v>
      </c>
      <c r="L805" s="433">
        <f t="shared" ref="L805:L868" si="66">IF(G805="niet in onderhoud",0,IF(I805="schrobben",J805,0))</f>
        <v>0</v>
      </c>
      <c r="M805" s="433">
        <f t="shared" ref="M805:M868" si="67">IF(G805="niet in onderhoud",0,IF(I805="Sproei/extraheren",J805,0))</f>
        <v>0</v>
      </c>
      <c r="N805" s="672"/>
      <c r="O805" s="729">
        <f>IF(N805="",0,N805*K805/'9b-Vloeronderhoud'!$F$4)</f>
        <v>0</v>
      </c>
      <c r="P805" s="672"/>
      <c r="Q805" s="729" t="e">
        <f>IF(O805="",0,P805*L805/'9b-Vloeronderhoud'!$F$6)</f>
        <v>#DIV/0!</v>
      </c>
      <c r="R805" s="449">
        <v>1</v>
      </c>
      <c r="S805" s="672" t="s">
        <v>179</v>
      </c>
      <c r="T805" s="161">
        <f t="shared" si="63"/>
        <v>0</v>
      </c>
      <c r="U805" s="162">
        <f>IF(S805="nio",0,IF(S805&gt;0,VLOOKUP(G805,'3-Productie normen'!A:K,VLOOKUP(S805,'3-Productie normen'!L:N,3,FALSE),FALSE)))</f>
        <v>0</v>
      </c>
      <c r="V805" s="162">
        <f>VLOOKUP(G805,'3-Productie normen'!A:K,10,FALSE)</f>
        <v>5262.809993648526</v>
      </c>
      <c r="W805" s="163">
        <f>VLOOKUP(G805,'3-Productie normen'!A:K,11,FALSE)</f>
        <v>0</v>
      </c>
      <c r="X805" s="163"/>
      <c r="Z805" s="129">
        <f t="shared" si="64"/>
        <v>0</v>
      </c>
    </row>
    <row r="806" spans="1:26" ht="14.1" customHeight="1">
      <c r="A806" s="144">
        <v>844</v>
      </c>
      <c r="B806" s="525" t="s">
        <v>262</v>
      </c>
      <c r="C806" s="160" t="s">
        <v>562</v>
      </c>
      <c r="D806" s="132" t="s">
        <v>98</v>
      </c>
      <c r="E806" s="702">
        <v>13</v>
      </c>
      <c r="F806" s="494" t="s">
        <v>550</v>
      </c>
      <c r="G806" s="460" t="s">
        <v>881</v>
      </c>
      <c r="H806" s="504" t="s">
        <v>375</v>
      </c>
      <c r="I806" s="582" t="str">
        <f>VLOOKUP(H806,'9a-Typen vloeren'!$A$10:$B$40,2,FALSE)</f>
        <v>n.v.t.</v>
      </c>
      <c r="J806" s="586">
        <v>3.7</v>
      </c>
      <c r="K806" s="433">
        <f t="shared" si="65"/>
        <v>0</v>
      </c>
      <c r="L806" s="433">
        <f t="shared" si="66"/>
        <v>0</v>
      </c>
      <c r="M806" s="433">
        <f t="shared" si="67"/>
        <v>0</v>
      </c>
      <c r="N806" s="672"/>
      <c r="O806" s="729">
        <f>IF(N806="",0,N806*K806/'9b-Vloeronderhoud'!$F$4)</f>
        <v>0</v>
      </c>
      <c r="P806" s="672"/>
      <c r="Q806" s="729" t="e">
        <f>IF(O806="",0,P806*L806/'9b-Vloeronderhoud'!$F$6)</f>
        <v>#DIV/0!</v>
      </c>
      <c r="R806" s="449">
        <v>1</v>
      </c>
      <c r="S806" s="672" t="s">
        <v>179</v>
      </c>
      <c r="T806" s="161">
        <f t="shared" si="63"/>
        <v>0</v>
      </c>
      <c r="U806" s="162">
        <f>IF(S806="nio",0,IF(S806&gt;0,VLOOKUP(G806,'3-Productie normen'!A:K,VLOOKUP(S806,'3-Productie normen'!L:N,3,FALSE),FALSE)))</f>
        <v>0</v>
      </c>
      <c r="V806" s="162">
        <f>VLOOKUP(G806,'3-Productie normen'!A:K,10,FALSE)</f>
        <v>5262.809993648526</v>
      </c>
      <c r="W806" s="163">
        <f>VLOOKUP(G806,'3-Productie normen'!A:K,11,FALSE)</f>
        <v>0</v>
      </c>
      <c r="X806" s="163"/>
      <c r="Z806" s="129">
        <f t="shared" si="64"/>
        <v>0</v>
      </c>
    </row>
    <row r="807" spans="1:26" ht="14.1" customHeight="1">
      <c r="A807" s="144">
        <v>845</v>
      </c>
      <c r="B807" s="525" t="s">
        <v>262</v>
      </c>
      <c r="C807" s="160" t="s">
        <v>562</v>
      </c>
      <c r="D807" s="132" t="s">
        <v>98</v>
      </c>
      <c r="E807" s="702">
        <v>14</v>
      </c>
      <c r="F807" s="494" t="s">
        <v>551</v>
      </c>
      <c r="G807" s="460" t="s">
        <v>285</v>
      </c>
      <c r="H807" s="492" t="s">
        <v>564</v>
      </c>
      <c r="I807" s="582" t="str">
        <f>VLOOKUP(H807,'9a-Typen vloeren'!$A$10:$B$40,2,FALSE)</f>
        <v>Schrobben</v>
      </c>
      <c r="J807" s="586">
        <v>70</v>
      </c>
      <c r="K807" s="433">
        <f t="shared" si="65"/>
        <v>0</v>
      </c>
      <c r="L807" s="433">
        <f t="shared" si="66"/>
        <v>70</v>
      </c>
      <c r="M807" s="433">
        <f t="shared" si="67"/>
        <v>0</v>
      </c>
      <c r="N807" s="672"/>
      <c r="O807" s="729">
        <f>IF(N807="",0,N807*K807/'9b-Vloeronderhoud'!$F$4)</f>
        <v>0</v>
      </c>
      <c r="P807" s="672"/>
      <c r="Q807" s="729" t="e">
        <f>IF(O807="",0,P807*L807/'9b-Vloeronderhoud'!$F$6)</f>
        <v>#DIV/0!</v>
      </c>
      <c r="R807" s="449">
        <v>1</v>
      </c>
      <c r="S807" s="672">
        <v>190</v>
      </c>
      <c r="T807" s="161" t="e">
        <f t="shared" si="63"/>
        <v>#DIV/0!</v>
      </c>
      <c r="U807" s="162">
        <f>IF(S807="nio",0,IF(S807&gt;0,VLOOKUP(G807,'3-Productie normen'!A:K,VLOOKUP(S807,'3-Productie normen'!L:N,3,FALSE),FALSE)))</f>
        <v>0</v>
      </c>
      <c r="V807" s="162">
        <f>VLOOKUP(G807,'3-Productie normen'!A:K,10,FALSE)</f>
        <v>3305.8200070953367</v>
      </c>
      <c r="W807" s="163">
        <f>VLOOKUP(G807,'3-Productie normen'!A:K,11,FALSE)</f>
        <v>0</v>
      </c>
      <c r="X807" s="163"/>
      <c r="Z807" s="129">
        <f t="shared" si="64"/>
        <v>13300</v>
      </c>
    </row>
    <row r="808" spans="1:26" ht="14.1" customHeight="1">
      <c r="A808" s="144">
        <v>846</v>
      </c>
      <c r="B808" s="525" t="s">
        <v>262</v>
      </c>
      <c r="C808" s="160" t="s">
        <v>562</v>
      </c>
      <c r="D808" s="132" t="s">
        <v>98</v>
      </c>
      <c r="E808" s="702">
        <v>15</v>
      </c>
      <c r="F808" s="494" t="s">
        <v>552</v>
      </c>
      <c r="G808" s="460" t="s">
        <v>881</v>
      </c>
      <c r="H808" s="504" t="s">
        <v>375</v>
      </c>
      <c r="I808" s="582" t="str">
        <f>VLOOKUP(H808,'9a-Typen vloeren'!$A$10:$B$40,2,FALSE)</f>
        <v>n.v.t.</v>
      </c>
      <c r="J808" s="586">
        <v>3.1</v>
      </c>
      <c r="K808" s="433">
        <f t="shared" si="65"/>
        <v>0</v>
      </c>
      <c r="L808" s="433">
        <f t="shared" si="66"/>
        <v>0</v>
      </c>
      <c r="M808" s="433">
        <f t="shared" si="67"/>
        <v>0</v>
      </c>
      <c r="N808" s="672"/>
      <c r="O808" s="729">
        <f>IF(N808="",0,N808*K808/'9b-Vloeronderhoud'!$F$4)</f>
        <v>0</v>
      </c>
      <c r="P808" s="672"/>
      <c r="Q808" s="729" t="e">
        <f>IF(O808="",0,P808*L808/'9b-Vloeronderhoud'!$F$6)</f>
        <v>#DIV/0!</v>
      </c>
      <c r="R808" s="449">
        <v>1</v>
      </c>
      <c r="S808" s="672" t="s">
        <v>179</v>
      </c>
      <c r="T808" s="161">
        <f t="shared" si="63"/>
        <v>0</v>
      </c>
      <c r="U808" s="162">
        <f>IF(S808="nio",0,IF(S808&gt;0,VLOOKUP(G808,'3-Productie normen'!A:K,VLOOKUP(S808,'3-Productie normen'!L:N,3,FALSE),FALSE)))</f>
        <v>0</v>
      </c>
      <c r="V808" s="162">
        <f>VLOOKUP(G808,'3-Productie normen'!A:K,10,FALSE)</f>
        <v>5262.809993648526</v>
      </c>
      <c r="W808" s="163">
        <f>VLOOKUP(G808,'3-Productie normen'!A:K,11,FALSE)</f>
        <v>0</v>
      </c>
      <c r="X808" s="163"/>
      <c r="Z808" s="129">
        <f t="shared" si="64"/>
        <v>0</v>
      </c>
    </row>
    <row r="809" spans="1:26" ht="14.1" customHeight="1">
      <c r="A809" s="144">
        <v>847</v>
      </c>
      <c r="B809" s="525" t="s">
        <v>262</v>
      </c>
      <c r="C809" s="160" t="s">
        <v>562</v>
      </c>
      <c r="D809" s="132" t="s">
        <v>98</v>
      </c>
      <c r="E809" s="702">
        <v>16</v>
      </c>
      <c r="F809" s="494" t="s">
        <v>452</v>
      </c>
      <c r="G809" s="303" t="s">
        <v>18</v>
      </c>
      <c r="H809" s="492" t="s">
        <v>968</v>
      </c>
      <c r="I809" s="582" t="str">
        <f>VLOOKUP(H809,'9a-Typen vloeren'!$A$10:$B$40,2,FALSE)</f>
        <v>zie kwaliteitsontwerp</v>
      </c>
      <c r="J809" s="586">
        <v>5.5</v>
      </c>
      <c r="K809" s="433">
        <f t="shared" si="65"/>
        <v>0</v>
      </c>
      <c r="L809" s="433">
        <f t="shared" si="66"/>
        <v>0</v>
      </c>
      <c r="M809" s="433">
        <f t="shared" si="67"/>
        <v>0</v>
      </c>
      <c r="N809" s="672"/>
      <c r="O809" s="729">
        <f>IF(N809="",0,N809*K809/'9b-Vloeronderhoud'!$F$4)</f>
        <v>0</v>
      </c>
      <c r="P809" s="672"/>
      <c r="Q809" s="729" t="e">
        <f>IF(O809="",0,P809*L809/'9b-Vloeronderhoud'!$F$6)</f>
        <v>#DIV/0!</v>
      </c>
      <c r="R809" s="449">
        <v>1</v>
      </c>
      <c r="S809" s="672">
        <v>190</v>
      </c>
      <c r="T809" s="161" t="e">
        <f t="shared" si="63"/>
        <v>#DIV/0!</v>
      </c>
      <c r="U809" s="162">
        <f>IF(S809="nio",0,IF(S809&gt;0,VLOOKUP(G809,'3-Productie normen'!A:K,VLOOKUP(S809,'3-Productie normen'!L:N,3,FALSE),FALSE)))</f>
        <v>0</v>
      </c>
      <c r="V809" s="162">
        <f>VLOOKUP(G809,'3-Productie normen'!A:K,10,FALSE)</f>
        <v>1859.5880019121171</v>
      </c>
      <c r="W809" s="163">
        <f>VLOOKUP(G809,'3-Productie normen'!A:K,11,FALSE)</f>
        <v>0</v>
      </c>
      <c r="X809" s="163"/>
      <c r="Z809" s="129">
        <f t="shared" si="64"/>
        <v>1045</v>
      </c>
    </row>
    <row r="810" spans="1:26" ht="14.1" customHeight="1">
      <c r="A810" s="144">
        <v>848</v>
      </c>
      <c r="B810" s="525" t="s">
        <v>262</v>
      </c>
      <c r="C810" s="160" t="s">
        <v>562</v>
      </c>
      <c r="D810" s="132" t="s">
        <v>98</v>
      </c>
      <c r="E810" s="702">
        <v>17</v>
      </c>
      <c r="F810" s="494" t="s">
        <v>489</v>
      </c>
      <c r="G810" s="546" t="s">
        <v>99</v>
      </c>
      <c r="H810" s="492" t="s">
        <v>563</v>
      </c>
      <c r="I810" s="582" t="str">
        <f>VLOOKUP(H810,'9a-Typen vloeren'!$A$10:$B$40,2,FALSE)</f>
        <v>n.v.t.</v>
      </c>
      <c r="J810" s="586">
        <v>4.5999999999999996</v>
      </c>
      <c r="K810" s="433">
        <f t="shared" si="65"/>
        <v>0</v>
      </c>
      <c r="L810" s="433">
        <f t="shared" si="66"/>
        <v>0</v>
      </c>
      <c r="M810" s="433">
        <f t="shared" si="67"/>
        <v>0</v>
      </c>
      <c r="N810" s="672"/>
      <c r="O810" s="729">
        <f>IF(N810="",0,N810*K810/'9b-Vloeronderhoud'!$F$4)</f>
        <v>0</v>
      </c>
      <c r="P810" s="672"/>
      <c r="Q810" s="729" t="e">
        <f>IF(O810="",0,P810*L810/'9b-Vloeronderhoud'!$F$6)</f>
        <v>#DIV/0!</v>
      </c>
      <c r="R810" s="449">
        <v>1</v>
      </c>
      <c r="S810" s="672">
        <v>190</v>
      </c>
      <c r="T810" s="161" t="e">
        <f t="shared" si="63"/>
        <v>#DIV/0!</v>
      </c>
      <c r="U810" s="162">
        <f>IF(S810="nio",0,IF(S810&gt;0,VLOOKUP(G810,'3-Productie normen'!A:K,VLOOKUP(S810,'3-Productie normen'!L:N,3,FALSE),FALSE)))</f>
        <v>0</v>
      </c>
      <c r="V810" s="162">
        <f>VLOOKUP(G810,'3-Productie normen'!A:K,10,FALSE)</f>
        <v>726.97999910354622</v>
      </c>
      <c r="W810" s="163">
        <f>VLOOKUP(G810,'3-Productie normen'!A:K,11,FALSE)</f>
        <v>0</v>
      </c>
      <c r="X810" s="163"/>
      <c r="Z810" s="129">
        <f t="shared" si="64"/>
        <v>873.99999999999989</v>
      </c>
    </row>
    <row r="811" spans="1:26" ht="14.1" customHeight="1">
      <c r="A811" s="144">
        <v>849</v>
      </c>
      <c r="B811" s="525" t="s">
        <v>262</v>
      </c>
      <c r="C811" s="160" t="s">
        <v>562</v>
      </c>
      <c r="D811" s="132" t="s">
        <v>98</v>
      </c>
      <c r="E811" s="702">
        <v>18</v>
      </c>
      <c r="F811" s="494" t="s">
        <v>553</v>
      </c>
      <c r="G811" s="460" t="s">
        <v>189</v>
      </c>
      <c r="H811" s="492" t="s">
        <v>564</v>
      </c>
      <c r="I811" s="582" t="str">
        <f>VLOOKUP(H811,'9a-Typen vloeren'!$A$10:$B$40,2,FALSE)</f>
        <v>Schrobben</v>
      </c>
      <c r="J811" s="586">
        <v>23.1</v>
      </c>
      <c r="K811" s="433">
        <f t="shared" si="65"/>
        <v>0</v>
      </c>
      <c r="L811" s="433">
        <f t="shared" si="66"/>
        <v>23.1</v>
      </c>
      <c r="M811" s="433">
        <f t="shared" si="67"/>
        <v>0</v>
      </c>
      <c r="N811" s="672"/>
      <c r="O811" s="729">
        <f>IF(N811="",0,N811*K811/'9b-Vloeronderhoud'!$F$4)</f>
        <v>0</v>
      </c>
      <c r="P811" s="672"/>
      <c r="Q811" s="729" t="e">
        <f>IF(O811="",0,P811*L811/'9b-Vloeronderhoud'!$F$6)</f>
        <v>#DIV/0!</v>
      </c>
      <c r="R811" s="449">
        <v>1</v>
      </c>
      <c r="S811" s="672">
        <v>40</v>
      </c>
      <c r="T811" s="161" t="e">
        <f t="shared" si="63"/>
        <v>#DIV/0!</v>
      </c>
      <c r="U811" s="162">
        <f>IF(S811="nio",0,IF(S811&gt;0,VLOOKUP(G811,'3-Productie normen'!A:K,VLOOKUP(S811,'3-Productie normen'!L:N,3,FALSE),FALSE)))</f>
        <v>0</v>
      </c>
      <c r="V811" s="162">
        <f>VLOOKUP(G811,'3-Productie normen'!A:K,10,FALSE)</f>
        <v>1494.1700078582762</v>
      </c>
      <c r="W811" s="163">
        <f>VLOOKUP(G811,'3-Productie normen'!A:K,11,FALSE)</f>
        <v>0</v>
      </c>
      <c r="X811" s="163"/>
      <c r="Z811" s="129">
        <f t="shared" si="64"/>
        <v>924</v>
      </c>
    </row>
    <row r="812" spans="1:26" ht="14.1" customHeight="1">
      <c r="A812" s="144">
        <v>850</v>
      </c>
      <c r="B812" s="525" t="s">
        <v>262</v>
      </c>
      <c r="C812" s="160" t="s">
        <v>562</v>
      </c>
      <c r="D812" s="132" t="s">
        <v>98</v>
      </c>
      <c r="E812" s="702">
        <v>19</v>
      </c>
      <c r="F812" s="494" t="s">
        <v>554</v>
      </c>
      <c r="G812" s="4" t="s">
        <v>286</v>
      </c>
      <c r="H812" s="492" t="s">
        <v>564</v>
      </c>
      <c r="I812" s="582" t="str">
        <f>VLOOKUP(H812,'9a-Typen vloeren'!$A$10:$B$40,2,FALSE)</f>
        <v>Schrobben</v>
      </c>
      <c r="J812" s="586">
        <v>115.8</v>
      </c>
      <c r="K812" s="433">
        <f t="shared" si="65"/>
        <v>0</v>
      </c>
      <c r="L812" s="433">
        <f t="shared" si="66"/>
        <v>115.8</v>
      </c>
      <c r="M812" s="433">
        <f t="shared" si="67"/>
        <v>0</v>
      </c>
      <c r="N812" s="672"/>
      <c r="O812" s="729">
        <f>IF(N812="",0,N812*K812/'9b-Vloeronderhoud'!$F$4)</f>
        <v>0</v>
      </c>
      <c r="P812" s="672">
        <v>3</v>
      </c>
      <c r="Q812" s="729" t="e">
        <f>IF(O812="",0,P812*L812/'9b-Vloeronderhoud'!$F$6)</f>
        <v>#DIV/0!</v>
      </c>
      <c r="R812" s="449">
        <v>1</v>
      </c>
      <c r="S812" s="672">
        <v>120</v>
      </c>
      <c r="T812" s="161" t="e">
        <f t="shared" si="63"/>
        <v>#DIV/0!</v>
      </c>
      <c r="U812" s="162">
        <f>IF(S812="nio",0,IF(S812&gt;0,VLOOKUP(G812,'3-Productie normen'!A:K,VLOOKUP(S812,'3-Productie normen'!L:N,3,FALSE),FALSE)))</f>
        <v>0</v>
      </c>
      <c r="V812" s="162">
        <f>VLOOKUP(G812,'3-Productie normen'!A:K,10,FALSE)</f>
        <v>6152.9500017547598</v>
      </c>
      <c r="W812" s="163">
        <f>VLOOKUP(G812,'3-Productie normen'!A:K,11,FALSE)</f>
        <v>0</v>
      </c>
      <c r="X812" s="163"/>
      <c r="Z812" s="129">
        <f t="shared" si="64"/>
        <v>13896</v>
      </c>
    </row>
    <row r="813" spans="1:26" ht="14.1" customHeight="1">
      <c r="A813" s="144">
        <v>851</v>
      </c>
      <c r="B813" s="525" t="s">
        <v>262</v>
      </c>
      <c r="C813" s="160" t="s">
        <v>562</v>
      </c>
      <c r="D813" s="132" t="s">
        <v>98</v>
      </c>
      <c r="E813" s="702">
        <v>20</v>
      </c>
      <c r="F813" s="494" t="s">
        <v>382</v>
      </c>
      <c r="G813" s="460" t="s">
        <v>881</v>
      </c>
      <c r="H813" s="504" t="s">
        <v>375</v>
      </c>
      <c r="I813" s="582" t="str">
        <f>VLOOKUP(H813,'9a-Typen vloeren'!$A$10:$B$40,2,FALSE)</f>
        <v>n.v.t.</v>
      </c>
      <c r="J813" s="586">
        <v>13.4</v>
      </c>
      <c r="K813" s="433">
        <f t="shared" si="65"/>
        <v>0</v>
      </c>
      <c r="L813" s="433">
        <f t="shared" si="66"/>
        <v>0</v>
      </c>
      <c r="M813" s="433">
        <f t="shared" si="67"/>
        <v>0</v>
      </c>
      <c r="N813" s="672"/>
      <c r="O813" s="729">
        <f>IF(N813="",0,N813*K813/'9b-Vloeronderhoud'!$F$4)</f>
        <v>0</v>
      </c>
      <c r="P813" s="672"/>
      <c r="Q813" s="729" t="e">
        <f>IF(O813="",0,P813*L813/'9b-Vloeronderhoud'!$F$6)</f>
        <v>#DIV/0!</v>
      </c>
      <c r="R813" s="449">
        <v>1</v>
      </c>
      <c r="S813" s="672" t="s">
        <v>179</v>
      </c>
      <c r="T813" s="161">
        <f t="shared" si="63"/>
        <v>0</v>
      </c>
      <c r="U813" s="162">
        <f>IF(S813="nio",0,IF(S813&gt;0,VLOOKUP(G813,'3-Productie normen'!A:K,VLOOKUP(S813,'3-Productie normen'!L:N,3,FALSE),FALSE)))</f>
        <v>0</v>
      </c>
      <c r="V813" s="162">
        <f>VLOOKUP(G813,'3-Productie normen'!A:K,10,FALSE)</f>
        <v>5262.809993648526</v>
      </c>
      <c r="W813" s="163">
        <f>VLOOKUP(G813,'3-Productie normen'!A:K,11,FALSE)</f>
        <v>0</v>
      </c>
      <c r="X813" s="163"/>
      <c r="Z813" s="129">
        <f t="shared" si="64"/>
        <v>0</v>
      </c>
    </row>
    <row r="814" spans="1:26" ht="14.1" customHeight="1">
      <c r="A814" s="144">
        <v>852</v>
      </c>
      <c r="B814" s="525" t="s">
        <v>262</v>
      </c>
      <c r="C814" s="160" t="s">
        <v>562</v>
      </c>
      <c r="D814" s="132" t="s">
        <v>98</v>
      </c>
      <c r="E814" s="702">
        <v>21</v>
      </c>
      <c r="F814" s="494" t="s">
        <v>452</v>
      </c>
      <c r="G814" s="4" t="s">
        <v>18</v>
      </c>
      <c r="H814" s="492" t="s">
        <v>968</v>
      </c>
      <c r="I814" s="582" t="str">
        <f>VLOOKUP(H814,'9a-Typen vloeren'!$A$10:$B$40,2,FALSE)</f>
        <v>zie kwaliteitsontwerp</v>
      </c>
      <c r="J814" s="586">
        <v>5.2</v>
      </c>
      <c r="K814" s="433">
        <f t="shared" si="65"/>
        <v>0</v>
      </c>
      <c r="L814" s="433">
        <f t="shared" si="66"/>
        <v>0</v>
      </c>
      <c r="M814" s="433">
        <f t="shared" si="67"/>
        <v>0</v>
      </c>
      <c r="N814" s="672"/>
      <c r="O814" s="729">
        <f>IF(N814="",0,N814*K814/'9b-Vloeronderhoud'!$F$4)</f>
        <v>0</v>
      </c>
      <c r="P814" s="672"/>
      <c r="Q814" s="729" t="e">
        <f>IF(O814="",0,P814*L814/'9b-Vloeronderhoud'!$F$6)</f>
        <v>#DIV/0!</v>
      </c>
      <c r="R814" s="449">
        <v>1</v>
      </c>
      <c r="S814" s="672">
        <v>190</v>
      </c>
      <c r="T814" s="161" t="e">
        <f t="shared" si="63"/>
        <v>#DIV/0!</v>
      </c>
      <c r="U814" s="162">
        <f>IF(S814="nio",0,IF(S814&gt;0,VLOOKUP(G814,'3-Productie normen'!A:K,VLOOKUP(S814,'3-Productie normen'!L:N,3,FALSE),FALSE)))</f>
        <v>0</v>
      </c>
      <c r="V814" s="162">
        <f>VLOOKUP(G814,'3-Productie normen'!A:K,10,FALSE)</f>
        <v>1859.5880019121171</v>
      </c>
      <c r="W814" s="163">
        <f>VLOOKUP(G814,'3-Productie normen'!A:K,11,FALSE)</f>
        <v>0</v>
      </c>
      <c r="X814" s="163"/>
      <c r="Z814" s="129">
        <f t="shared" si="64"/>
        <v>988</v>
      </c>
    </row>
    <row r="815" spans="1:26" ht="14.1" customHeight="1">
      <c r="A815" s="144">
        <v>853</v>
      </c>
      <c r="B815" s="525" t="s">
        <v>262</v>
      </c>
      <c r="C815" s="160" t="s">
        <v>562</v>
      </c>
      <c r="D815" s="132" t="s">
        <v>98</v>
      </c>
      <c r="E815" s="702">
        <v>22</v>
      </c>
      <c r="F815" s="494" t="s">
        <v>451</v>
      </c>
      <c r="G815" s="460" t="s">
        <v>881</v>
      </c>
      <c r="H815" s="504" t="s">
        <v>375</v>
      </c>
      <c r="I815" s="582" t="str">
        <f>VLOOKUP(H815,'9a-Typen vloeren'!$A$10:$B$40,2,FALSE)</f>
        <v>n.v.t.</v>
      </c>
      <c r="J815" s="586">
        <v>1.9</v>
      </c>
      <c r="K815" s="433">
        <f t="shared" si="65"/>
        <v>0</v>
      </c>
      <c r="L815" s="433">
        <f t="shared" si="66"/>
        <v>0</v>
      </c>
      <c r="M815" s="433">
        <f t="shared" si="67"/>
        <v>0</v>
      </c>
      <c r="N815" s="672"/>
      <c r="O815" s="729">
        <f>IF(N815="",0,N815*K815/'9b-Vloeronderhoud'!$F$4)</f>
        <v>0</v>
      </c>
      <c r="P815" s="672"/>
      <c r="Q815" s="729" t="e">
        <f>IF(O815="",0,P815*L815/'9b-Vloeronderhoud'!$F$6)</f>
        <v>#DIV/0!</v>
      </c>
      <c r="R815" s="449">
        <v>1</v>
      </c>
      <c r="S815" s="672" t="s">
        <v>179</v>
      </c>
      <c r="T815" s="161">
        <f t="shared" si="63"/>
        <v>0</v>
      </c>
      <c r="U815" s="162">
        <f>IF(S815="nio",0,IF(S815&gt;0,VLOOKUP(G815,'3-Productie normen'!A:K,VLOOKUP(S815,'3-Productie normen'!L:N,3,FALSE),FALSE)))</f>
        <v>0</v>
      </c>
      <c r="V815" s="162">
        <f>VLOOKUP(G815,'3-Productie normen'!A:K,10,FALSE)</f>
        <v>5262.809993648526</v>
      </c>
      <c r="W815" s="163">
        <f>VLOOKUP(G815,'3-Productie normen'!A:K,11,FALSE)</f>
        <v>0</v>
      </c>
      <c r="X815" s="163"/>
      <c r="Z815" s="129">
        <f t="shared" si="64"/>
        <v>0</v>
      </c>
    </row>
    <row r="816" spans="1:26" ht="14.1" customHeight="1">
      <c r="A816" s="144">
        <v>854</v>
      </c>
      <c r="B816" s="525" t="s">
        <v>262</v>
      </c>
      <c r="C816" s="160" t="s">
        <v>562</v>
      </c>
      <c r="D816" s="132" t="s">
        <v>98</v>
      </c>
      <c r="E816" s="702">
        <v>23</v>
      </c>
      <c r="F816" s="494" t="s">
        <v>552</v>
      </c>
      <c r="G816" s="460" t="s">
        <v>881</v>
      </c>
      <c r="H816" s="504" t="s">
        <v>375</v>
      </c>
      <c r="I816" s="582" t="str">
        <f>VLOOKUP(H816,'9a-Typen vloeren'!$A$10:$B$40,2,FALSE)</f>
        <v>n.v.t.</v>
      </c>
      <c r="J816" s="586">
        <v>11.5</v>
      </c>
      <c r="K816" s="433">
        <f t="shared" si="65"/>
        <v>0</v>
      </c>
      <c r="L816" s="433">
        <f t="shared" si="66"/>
        <v>0</v>
      </c>
      <c r="M816" s="433">
        <f t="shared" si="67"/>
        <v>0</v>
      </c>
      <c r="N816" s="672"/>
      <c r="O816" s="729">
        <f>IF(N816="",0,N816*K816/'9b-Vloeronderhoud'!$F$4)</f>
        <v>0</v>
      </c>
      <c r="P816" s="672"/>
      <c r="Q816" s="729" t="e">
        <f>IF(O816="",0,P816*L816/'9b-Vloeronderhoud'!$F$6)</f>
        <v>#DIV/0!</v>
      </c>
      <c r="R816" s="449">
        <v>1</v>
      </c>
      <c r="S816" s="672" t="s">
        <v>179</v>
      </c>
      <c r="T816" s="161">
        <f t="shared" si="63"/>
        <v>0</v>
      </c>
      <c r="U816" s="162">
        <f>IF(S816="nio",0,IF(S816&gt;0,VLOOKUP(G816,'3-Productie normen'!A:K,VLOOKUP(S816,'3-Productie normen'!L:N,3,FALSE),FALSE)))</f>
        <v>0</v>
      </c>
      <c r="V816" s="162">
        <f>VLOOKUP(G816,'3-Productie normen'!A:K,10,FALSE)</f>
        <v>5262.809993648526</v>
      </c>
      <c r="W816" s="163">
        <f>VLOOKUP(G816,'3-Productie normen'!A:K,11,FALSE)</f>
        <v>0</v>
      </c>
      <c r="X816" s="163"/>
      <c r="Z816" s="129">
        <f t="shared" si="64"/>
        <v>0</v>
      </c>
    </row>
    <row r="817" spans="1:26" ht="14.1" customHeight="1">
      <c r="A817" s="144">
        <v>855</v>
      </c>
      <c r="B817" s="525" t="s">
        <v>262</v>
      </c>
      <c r="C817" s="160" t="s">
        <v>562</v>
      </c>
      <c r="D817" s="132" t="s">
        <v>98</v>
      </c>
      <c r="E817" s="702">
        <v>24</v>
      </c>
      <c r="F817" s="494" t="s">
        <v>452</v>
      </c>
      <c r="G817" s="460" t="s">
        <v>18</v>
      </c>
      <c r="H817" s="492" t="s">
        <v>968</v>
      </c>
      <c r="I817" s="582" t="str">
        <f>VLOOKUP(H817,'9a-Typen vloeren'!$A$10:$B$40,2,FALSE)</f>
        <v>zie kwaliteitsontwerp</v>
      </c>
      <c r="J817" s="586">
        <v>5.2</v>
      </c>
      <c r="K817" s="433">
        <f t="shared" si="65"/>
        <v>0</v>
      </c>
      <c r="L817" s="433">
        <f t="shared" si="66"/>
        <v>0</v>
      </c>
      <c r="M817" s="433">
        <f t="shared" si="67"/>
        <v>0</v>
      </c>
      <c r="N817" s="672"/>
      <c r="O817" s="729">
        <f>IF(N817="",0,N817*K817/'9b-Vloeronderhoud'!$F$4)</f>
        <v>0</v>
      </c>
      <c r="P817" s="672"/>
      <c r="Q817" s="729" t="e">
        <f>IF(O817="",0,P817*L817/'9b-Vloeronderhoud'!$F$6)</f>
        <v>#DIV/0!</v>
      </c>
      <c r="R817" s="449">
        <v>1</v>
      </c>
      <c r="S817" s="672">
        <v>190</v>
      </c>
      <c r="T817" s="161" t="e">
        <f t="shared" si="63"/>
        <v>#DIV/0!</v>
      </c>
      <c r="U817" s="162">
        <f>IF(S817="nio",0,IF(S817&gt;0,VLOOKUP(G817,'3-Productie normen'!A:K,VLOOKUP(S817,'3-Productie normen'!L:N,3,FALSE),FALSE)))</f>
        <v>0</v>
      </c>
      <c r="V817" s="162">
        <f>VLOOKUP(G817,'3-Productie normen'!A:K,10,FALSE)</f>
        <v>1859.5880019121171</v>
      </c>
      <c r="W817" s="163">
        <f>VLOOKUP(G817,'3-Productie normen'!A:K,11,FALSE)</f>
        <v>0</v>
      </c>
      <c r="X817" s="163"/>
      <c r="Z817" s="129">
        <f t="shared" si="64"/>
        <v>988</v>
      </c>
    </row>
    <row r="818" spans="1:26" ht="14.1" customHeight="1">
      <c r="A818" s="144">
        <v>856</v>
      </c>
      <c r="B818" s="525" t="s">
        <v>262</v>
      </c>
      <c r="C818" s="160" t="s">
        <v>562</v>
      </c>
      <c r="D818" s="132" t="s">
        <v>98</v>
      </c>
      <c r="E818" s="702">
        <v>25</v>
      </c>
      <c r="F818" s="494" t="s">
        <v>452</v>
      </c>
      <c r="G818" s="460" t="s">
        <v>18</v>
      </c>
      <c r="H818" s="492" t="s">
        <v>968</v>
      </c>
      <c r="I818" s="582" t="str">
        <f>VLOOKUP(H818,'9a-Typen vloeren'!$A$10:$B$40,2,FALSE)</f>
        <v>zie kwaliteitsontwerp</v>
      </c>
      <c r="J818" s="586">
        <v>5.2</v>
      </c>
      <c r="K818" s="433">
        <f t="shared" si="65"/>
        <v>0</v>
      </c>
      <c r="L818" s="433">
        <f t="shared" si="66"/>
        <v>0</v>
      </c>
      <c r="M818" s="433">
        <f t="shared" si="67"/>
        <v>0</v>
      </c>
      <c r="N818" s="672"/>
      <c r="O818" s="729">
        <f>IF(N818="",0,N818*K818/'9b-Vloeronderhoud'!$F$4)</f>
        <v>0</v>
      </c>
      <c r="P818" s="672"/>
      <c r="Q818" s="729" t="e">
        <f>IF(O818="",0,P818*L818/'9b-Vloeronderhoud'!$F$6)</f>
        <v>#DIV/0!</v>
      </c>
      <c r="R818" s="449">
        <v>1</v>
      </c>
      <c r="S818" s="672">
        <v>190</v>
      </c>
      <c r="T818" s="161" t="e">
        <f t="shared" si="63"/>
        <v>#DIV/0!</v>
      </c>
      <c r="U818" s="162">
        <f>IF(S818="nio",0,IF(S818&gt;0,VLOOKUP(G818,'3-Productie normen'!A:K,VLOOKUP(S818,'3-Productie normen'!L:N,3,FALSE),FALSE)))</f>
        <v>0</v>
      </c>
      <c r="V818" s="162">
        <f>VLOOKUP(G818,'3-Productie normen'!A:K,10,FALSE)</f>
        <v>1859.5880019121171</v>
      </c>
      <c r="W818" s="163">
        <f>VLOOKUP(G818,'3-Productie normen'!A:K,11,FALSE)</f>
        <v>0</v>
      </c>
      <c r="X818" s="163"/>
      <c r="Z818" s="129">
        <f t="shared" si="64"/>
        <v>988</v>
      </c>
    </row>
    <row r="819" spans="1:26" ht="14.1" customHeight="1">
      <c r="A819" s="144">
        <v>857</v>
      </c>
      <c r="B819" s="525" t="s">
        <v>262</v>
      </c>
      <c r="C819" s="160" t="s">
        <v>562</v>
      </c>
      <c r="D819" s="132" t="s">
        <v>98</v>
      </c>
      <c r="E819" s="702">
        <v>26</v>
      </c>
      <c r="F819" s="494" t="s">
        <v>551</v>
      </c>
      <c r="G819" s="122" t="s">
        <v>285</v>
      </c>
      <c r="H819" s="492" t="s">
        <v>564</v>
      </c>
      <c r="I819" s="582" t="str">
        <f>VLOOKUP(H819,'9a-Typen vloeren'!$A$10:$B$40,2,FALSE)</f>
        <v>Schrobben</v>
      </c>
      <c r="J819" s="586">
        <v>70</v>
      </c>
      <c r="K819" s="433">
        <f t="shared" si="65"/>
        <v>0</v>
      </c>
      <c r="L819" s="433">
        <f t="shared" si="66"/>
        <v>70</v>
      </c>
      <c r="M819" s="433">
        <f t="shared" si="67"/>
        <v>0</v>
      </c>
      <c r="N819" s="672"/>
      <c r="O819" s="729">
        <f>IF(N819="",0,N819*K819/'9b-Vloeronderhoud'!$F$4)</f>
        <v>0</v>
      </c>
      <c r="P819" s="672"/>
      <c r="Q819" s="729" t="e">
        <f>IF(O819="",0,P819*L819/'9b-Vloeronderhoud'!$F$6)</f>
        <v>#DIV/0!</v>
      </c>
      <c r="R819" s="449">
        <v>1</v>
      </c>
      <c r="S819" s="672">
        <v>190</v>
      </c>
      <c r="T819" s="161" t="e">
        <f t="shared" si="63"/>
        <v>#DIV/0!</v>
      </c>
      <c r="U819" s="162">
        <f>IF(S819="nio",0,IF(S819&gt;0,VLOOKUP(G819,'3-Productie normen'!A:K,VLOOKUP(S819,'3-Productie normen'!L:N,3,FALSE),FALSE)))</f>
        <v>0</v>
      </c>
      <c r="V819" s="162">
        <f>VLOOKUP(G819,'3-Productie normen'!A:K,10,FALSE)</f>
        <v>3305.8200070953367</v>
      </c>
      <c r="W819" s="163">
        <f>VLOOKUP(G819,'3-Productie normen'!A:K,11,FALSE)</f>
        <v>0</v>
      </c>
      <c r="X819" s="163"/>
      <c r="Z819" s="129">
        <f t="shared" si="64"/>
        <v>13300</v>
      </c>
    </row>
    <row r="820" spans="1:26" ht="14.1" customHeight="1">
      <c r="A820" s="144">
        <v>858</v>
      </c>
      <c r="B820" s="525" t="s">
        <v>262</v>
      </c>
      <c r="C820" s="160" t="s">
        <v>562</v>
      </c>
      <c r="D820" s="132" t="s">
        <v>98</v>
      </c>
      <c r="E820" s="702">
        <v>27</v>
      </c>
      <c r="F820" s="494" t="s">
        <v>552</v>
      </c>
      <c r="G820" s="460" t="s">
        <v>881</v>
      </c>
      <c r="H820" s="504" t="s">
        <v>375</v>
      </c>
      <c r="I820" s="582" t="str">
        <f>VLOOKUP(H820,'9a-Typen vloeren'!$A$10:$B$40,2,FALSE)</f>
        <v>n.v.t.</v>
      </c>
      <c r="J820" s="586">
        <v>4</v>
      </c>
      <c r="K820" s="433">
        <f t="shared" si="65"/>
        <v>0</v>
      </c>
      <c r="L820" s="433">
        <f t="shared" si="66"/>
        <v>0</v>
      </c>
      <c r="M820" s="433">
        <f t="shared" si="67"/>
        <v>0</v>
      </c>
      <c r="N820" s="672"/>
      <c r="O820" s="729">
        <f>IF(N820="",0,N820*K820/'9b-Vloeronderhoud'!$F$4)</f>
        <v>0</v>
      </c>
      <c r="P820" s="672"/>
      <c r="Q820" s="729" t="e">
        <f>IF(O820="",0,P820*L820/'9b-Vloeronderhoud'!$F$6)</f>
        <v>#DIV/0!</v>
      </c>
      <c r="R820" s="449">
        <v>1</v>
      </c>
      <c r="S820" s="672" t="s">
        <v>179</v>
      </c>
      <c r="T820" s="161">
        <f t="shared" si="63"/>
        <v>0</v>
      </c>
      <c r="U820" s="162">
        <f>IF(S820="nio",0,IF(S820&gt;0,VLOOKUP(G820,'3-Productie normen'!A:K,VLOOKUP(S820,'3-Productie normen'!L:N,3,FALSE),FALSE)))</f>
        <v>0</v>
      </c>
      <c r="V820" s="162">
        <f>VLOOKUP(G820,'3-Productie normen'!A:K,10,FALSE)</f>
        <v>5262.809993648526</v>
      </c>
      <c r="W820" s="163">
        <f>VLOOKUP(G820,'3-Productie normen'!A:K,11,FALSE)</f>
        <v>0</v>
      </c>
      <c r="X820" s="163"/>
      <c r="Z820" s="129">
        <f t="shared" si="64"/>
        <v>0</v>
      </c>
    </row>
    <row r="821" spans="1:26" ht="14.1" customHeight="1">
      <c r="A821" s="144">
        <v>859</v>
      </c>
      <c r="B821" s="525" t="s">
        <v>262</v>
      </c>
      <c r="C821" s="160" t="s">
        <v>562</v>
      </c>
      <c r="D821" s="132" t="s">
        <v>98</v>
      </c>
      <c r="E821" s="702">
        <v>28</v>
      </c>
      <c r="F821" s="494" t="s">
        <v>551</v>
      </c>
      <c r="G821" s="460" t="s">
        <v>285</v>
      </c>
      <c r="H821" s="492" t="s">
        <v>564</v>
      </c>
      <c r="I821" s="582" t="str">
        <f>VLOOKUP(H821,'9a-Typen vloeren'!$A$10:$B$40,2,FALSE)</f>
        <v>Schrobben</v>
      </c>
      <c r="J821" s="586">
        <v>57.8</v>
      </c>
      <c r="K821" s="433">
        <f t="shared" si="65"/>
        <v>0</v>
      </c>
      <c r="L821" s="433">
        <f t="shared" si="66"/>
        <v>57.8</v>
      </c>
      <c r="M821" s="433">
        <f t="shared" si="67"/>
        <v>0</v>
      </c>
      <c r="N821" s="672"/>
      <c r="O821" s="729">
        <f>IF(N821="",0,N821*K821/'9b-Vloeronderhoud'!$F$4)</f>
        <v>0</v>
      </c>
      <c r="P821" s="672"/>
      <c r="Q821" s="729" t="e">
        <f>IF(O821="",0,P821*L821/'9b-Vloeronderhoud'!$F$6)</f>
        <v>#DIV/0!</v>
      </c>
      <c r="R821" s="449">
        <v>1</v>
      </c>
      <c r="S821" s="672">
        <v>190</v>
      </c>
      <c r="T821" s="161" t="e">
        <f t="shared" si="63"/>
        <v>#DIV/0!</v>
      </c>
      <c r="U821" s="162">
        <f>IF(S821="nio",0,IF(S821&gt;0,VLOOKUP(G821,'3-Productie normen'!A:K,VLOOKUP(S821,'3-Productie normen'!L:N,3,FALSE),FALSE)))</f>
        <v>0</v>
      </c>
      <c r="V821" s="162">
        <f>VLOOKUP(G821,'3-Productie normen'!A:K,10,FALSE)</f>
        <v>3305.8200070953367</v>
      </c>
      <c r="W821" s="163">
        <f>VLOOKUP(G821,'3-Productie normen'!A:K,11,FALSE)</f>
        <v>0</v>
      </c>
      <c r="X821" s="163"/>
      <c r="Z821" s="129">
        <f t="shared" si="64"/>
        <v>10982</v>
      </c>
    </row>
    <row r="822" spans="1:26" ht="14.1" customHeight="1">
      <c r="A822" s="144">
        <v>860</v>
      </c>
      <c r="B822" s="525" t="s">
        <v>262</v>
      </c>
      <c r="C822" s="160" t="s">
        <v>562</v>
      </c>
      <c r="D822" s="132" t="s">
        <v>98</v>
      </c>
      <c r="E822" s="702">
        <v>29</v>
      </c>
      <c r="F822" s="494" t="s">
        <v>551</v>
      </c>
      <c r="G822" s="4" t="s">
        <v>285</v>
      </c>
      <c r="H822" s="492" t="s">
        <v>564</v>
      </c>
      <c r="I822" s="582" t="str">
        <f>VLOOKUP(H822,'9a-Typen vloeren'!$A$10:$B$40,2,FALSE)</f>
        <v>Schrobben</v>
      </c>
      <c r="J822" s="586">
        <v>56</v>
      </c>
      <c r="K822" s="433">
        <f t="shared" si="65"/>
        <v>0</v>
      </c>
      <c r="L822" s="433">
        <f t="shared" si="66"/>
        <v>56</v>
      </c>
      <c r="M822" s="433">
        <f t="shared" si="67"/>
        <v>0</v>
      </c>
      <c r="N822" s="672"/>
      <c r="O822" s="729">
        <f>IF(N822="",0,N822*K822/'9b-Vloeronderhoud'!$F$4)</f>
        <v>0</v>
      </c>
      <c r="P822" s="672"/>
      <c r="Q822" s="729" t="e">
        <f>IF(O822="",0,P822*L822/'9b-Vloeronderhoud'!$F$6)</f>
        <v>#DIV/0!</v>
      </c>
      <c r="R822" s="449">
        <v>1</v>
      </c>
      <c r="S822" s="672">
        <v>190</v>
      </c>
      <c r="T822" s="161" t="e">
        <f t="shared" si="63"/>
        <v>#DIV/0!</v>
      </c>
      <c r="U822" s="162">
        <f>IF(S822="nio",0,IF(S822&gt;0,VLOOKUP(G822,'3-Productie normen'!A:K,VLOOKUP(S822,'3-Productie normen'!L:N,3,FALSE),FALSE)))</f>
        <v>0</v>
      </c>
      <c r="V822" s="162">
        <f>VLOOKUP(G822,'3-Productie normen'!A:K,10,FALSE)</f>
        <v>3305.8200070953367</v>
      </c>
      <c r="W822" s="163">
        <f>VLOOKUP(G822,'3-Productie normen'!A:K,11,FALSE)</f>
        <v>0</v>
      </c>
      <c r="X822" s="163"/>
      <c r="Z822" s="129">
        <f t="shared" si="64"/>
        <v>10640</v>
      </c>
    </row>
    <row r="823" spans="1:26" ht="14.1" customHeight="1">
      <c r="A823" s="144">
        <v>861</v>
      </c>
      <c r="B823" s="525" t="s">
        <v>262</v>
      </c>
      <c r="C823" s="160" t="s">
        <v>562</v>
      </c>
      <c r="D823" s="132" t="s">
        <v>98</v>
      </c>
      <c r="E823" s="702">
        <v>30</v>
      </c>
      <c r="F823" s="494" t="s">
        <v>585</v>
      </c>
      <c r="G823" s="460" t="s">
        <v>881</v>
      </c>
      <c r="H823" s="504" t="s">
        <v>375</v>
      </c>
      <c r="I823" s="582" t="str">
        <f>VLOOKUP(H823,'9a-Typen vloeren'!$A$10:$B$40,2,FALSE)</f>
        <v>n.v.t.</v>
      </c>
      <c r="J823" s="586">
        <v>17.899999999999999</v>
      </c>
      <c r="K823" s="433">
        <f t="shared" si="65"/>
        <v>0</v>
      </c>
      <c r="L823" s="433">
        <f t="shared" si="66"/>
        <v>0</v>
      </c>
      <c r="M823" s="433">
        <f t="shared" si="67"/>
        <v>0</v>
      </c>
      <c r="N823" s="672"/>
      <c r="O823" s="729">
        <f>IF(N823="",0,N823*K823/'9b-Vloeronderhoud'!$F$4)</f>
        <v>0</v>
      </c>
      <c r="P823" s="672"/>
      <c r="Q823" s="729" t="e">
        <f>IF(O823="",0,P823*L823/'9b-Vloeronderhoud'!$F$6)</f>
        <v>#DIV/0!</v>
      </c>
      <c r="R823" s="449">
        <v>1</v>
      </c>
      <c r="S823" s="672" t="s">
        <v>179</v>
      </c>
      <c r="T823" s="161">
        <f t="shared" si="63"/>
        <v>0</v>
      </c>
      <c r="U823" s="162">
        <f>IF(S823="nio",0,IF(S823&gt;0,VLOOKUP(G823,'3-Productie normen'!A:K,VLOOKUP(S823,'3-Productie normen'!L:N,3,FALSE),FALSE)))</f>
        <v>0</v>
      </c>
      <c r="V823" s="162">
        <f>VLOOKUP(G823,'3-Productie normen'!A:K,10,FALSE)</f>
        <v>5262.809993648526</v>
      </c>
      <c r="W823" s="163">
        <f>VLOOKUP(G823,'3-Productie normen'!A:K,11,FALSE)</f>
        <v>0</v>
      </c>
      <c r="X823" s="163"/>
      <c r="Z823" s="129">
        <f t="shared" si="64"/>
        <v>0</v>
      </c>
    </row>
    <row r="824" spans="1:26" ht="14.1" customHeight="1">
      <c r="A824" s="144">
        <v>862</v>
      </c>
      <c r="B824" s="525" t="s">
        <v>262</v>
      </c>
      <c r="C824" s="160" t="s">
        <v>562</v>
      </c>
      <c r="D824" s="132" t="s">
        <v>98</v>
      </c>
      <c r="E824" s="702">
        <v>31</v>
      </c>
      <c r="F824" s="494" t="s">
        <v>267</v>
      </c>
      <c r="G824" s="546" t="s">
        <v>18</v>
      </c>
      <c r="H824" s="492" t="s">
        <v>968</v>
      </c>
      <c r="I824" s="582" t="str">
        <f>VLOOKUP(H824,'9a-Typen vloeren'!$A$10:$B$40,2,FALSE)</f>
        <v>zie kwaliteitsontwerp</v>
      </c>
      <c r="J824" s="586">
        <v>5.3</v>
      </c>
      <c r="K824" s="433">
        <f t="shared" si="65"/>
        <v>0</v>
      </c>
      <c r="L824" s="433">
        <f t="shared" si="66"/>
        <v>0</v>
      </c>
      <c r="M824" s="433">
        <f t="shared" si="67"/>
        <v>0</v>
      </c>
      <c r="N824" s="672"/>
      <c r="O824" s="729">
        <f>IF(N824="",0,N824*K824/'9b-Vloeronderhoud'!$F$4)</f>
        <v>0</v>
      </c>
      <c r="P824" s="672"/>
      <c r="Q824" s="729" t="e">
        <f>IF(O824="",0,P824*L824/'9b-Vloeronderhoud'!$F$6)</f>
        <v>#DIV/0!</v>
      </c>
      <c r="R824" s="449">
        <v>1</v>
      </c>
      <c r="S824" s="672">
        <v>190</v>
      </c>
      <c r="T824" s="161" t="e">
        <f t="shared" si="63"/>
        <v>#DIV/0!</v>
      </c>
      <c r="U824" s="162">
        <f>IF(S824="nio",0,IF(S824&gt;0,VLOOKUP(G824,'3-Productie normen'!A:K,VLOOKUP(S824,'3-Productie normen'!L:N,3,FALSE),FALSE)))</f>
        <v>0</v>
      </c>
      <c r="V824" s="162">
        <f>VLOOKUP(G824,'3-Productie normen'!A:K,10,FALSE)</f>
        <v>1859.5880019121171</v>
      </c>
      <c r="W824" s="163">
        <f>VLOOKUP(G824,'3-Productie normen'!A:K,11,FALSE)</f>
        <v>0</v>
      </c>
      <c r="X824" s="163"/>
      <c r="Z824" s="129">
        <f t="shared" si="64"/>
        <v>1007</v>
      </c>
    </row>
    <row r="825" spans="1:26" ht="14.1" customHeight="1">
      <c r="A825" s="144">
        <v>863</v>
      </c>
      <c r="B825" s="525" t="s">
        <v>262</v>
      </c>
      <c r="C825" s="160" t="s">
        <v>562</v>
      </c>
      <c r="D825" s="132" t="s">
        <v>98</v>
      </c>
      <c r="E825" s="702">
        <v>32</v>
      </c>
      <c r="F825" s="494" t="s">
        <v>555</v>
      </c>
      <c r="G825" s="460" t="s">
        <v>286</v>
      </c>
      <c r="H825" s="504" t="s">
        <v>375</v>
      </c>
      <c r="I825" s="582" t="str">
        <f>VLOOKUP(H825,'9a-Typen vloeren'!$A$10:$B$40,2,FALSE)</f>
        <v>n.v.t.</v>
      </c>
      <c r="J825" s="586">
        <v>5</v>
      </c>
      <c r="K825" s="433">
        <f t="shared" si="65"/>
        <v>0</v>
      </c>
      <c r="L825" s="433">
        <f t="shared" si="66"/>
        <v>0</v>
      </c>
      <c r="M825" s="433">
        <f t="shared" si="67"/>
        <v>0</v>
      </c>
      <c r="N825" s="672"/>
      <c r="O825" s="729">
        <f>IF(N825="",0,N825*K825/'9b-Vloeronderhoud'!$F$4)</f>
        <v>0</v>
      </c>
      <c r="P825" s="672"/>
      <c r="Q825" s="729" t="e">
        <f>IF(O825="",0,P825*L825/'9b-Vloeronderhoud'!$F$6)</f>
        <v>#DIV/0!</v>
      </c>
      <c r="R825" s="449">
        <v>1</v>
      </c>
      <c r="S825" s="672">
        <v>120</v>
      </c>
      <c r="T825" s="161" t="e">
        <f t="shared" si="63"/>
        <v>#DIV/0!</v>
      </c>
      <c r="U825" s="162">
        <f>IF(S825="nio",0,IF(S825&gt;0,VLOOKUP(G825,'3-Productie normen'!A:K,VLOOKUP(S825,'3-Productie normen'!L:N,3,FALSE),FALSE)))</f>
        <v>0</v>
      </c>
      <c r="V825" s="162">
        <f>VLOOKUP(G825,'3-Productie normen'!A:K,10,FALSE)</f>
        <v>6152.9500017547598</v>
      </c>
      <c r="W825" s="163">
        <f>VLOOKUP(G825,'3-Productie normen'!A:K,11,FALSE)</f>
        <v>0</v>
      </c>
      <c r="X825" s="163"/>
      <c r="Z825" s="129">
        <f t="shared" si="64"/>
        <v>600</v>
      </c>
    </row>
    <row r="826" spans="1:26" ht="14.1" customHeight="1">
      <c r="A826" s="144">
        <v>864</v>
      </c>
      <c r="B826" s="525" t="s">
        <v>262</v>
      </c>
      <c r="C826" s="160" t="s">
        <v>562</v>
      </c>
      <c r="D826" s="132" t="s">
        <v>98</v>
      </c>
      <c r="E826" s="702">
        <v>33</v>
      </c>
      <c r="F826" s="494" t="s">
        <v>556</v>
      </c>
      <c r="G826" s="122" t="s">
        <v>299</v>
      </c>
      <c r="H826" s="492" t="s">
        <v>564</v>
      </c>
      <c r="I826" s="582" t="str">
        <f>VLOOKUP(H826,'9a-Typen vloeren'!$A$10:$B$40,2,FALSE)</f>
        <v>Schrobben</v>
      </c>
      <c r="J826" s="586">
        <v>23</v>
      </c>
      <c r="K826" s="433">
        <f t="shared" si="65"/>
        <v>0</v>
      </c>
      <c r="L826" s="433">
        <f t="shared" si="66"/>
        <v>23</v>
      </c>
      <c r="M826" s="433">
        <f t="shared" si="67"/>
        <v>0</v>
      </c>
      <c r="N826" s="672"/>
      <c r="O826" s="729">
        <f>IF(N826="",0,N826*K826/'9b-Vloeronderhoud'!$F$4)</f>
        <v>0</v>
      </c>
      <c r="P826" s="672"/>
      <c r="Q826" s="729" t="e">
        <f>IF(O826="",0,P826*L826/'9b-Vloeronderhoud'!$F$6)</f>
        <v>#DIV/0!</v>
      </c>
      <c r="R826" s="449">
        <v>1</v>
      </c>
      <c r="S826" s="672">
        <v>40</v>
      </c>
      <c r="T826" s="161" t="e">
        <f t="shared" si="63"/>
        <v>#DIV/0!</v>
      </c>
      <c r="U826" s="162">
        <f>IF(S826="nio",0,IF(S826&gt;0,VLOOKUP(G826,'3-Productie normen'!A:K,VLOOKUP(S826,'3-Productie normen'!L:N,3,FALSE),FALSE)))</f>
        <v>0</v>
      </c>
      <c r="V826" s="162">
        <f>VLOOKUP(G826,'3-Productie normen'!A:K,10,FALSE)</f>
        <v>1107.9100014114381</v>
      </c>
      <c r="W826" s="163">
        <f>VLOOKUP(G826,'3-Productie normen'!A:K,11,FALSE)</f>
        <v>0</v>
      </c>
      <c r="X826" s="163"/>
      <c r="Z826" s="129">
        <f t="shared" si="64"/>
        <v>920</v>
      </c>
    </row>
    <row r="827" spans="1:26" ht="14.1" customHeight="1">
      <c r="A827" s="144">
        <v>865</v>
      </c>
      <c r="B827" s="525" t="s">
        <v>262</v>
      </c>
      <c r="C827" s="160" t="s">
        <v>562</v>
      </c>
      <c r="D827" s="132" t="s">
        <v>98</v>
      </c>
      <c r="E827" s="702">
        <v>34</v>
      </c>
      <c r="F827" s="494" t="s">
        <v>557</v>
      </c>
      <c r="G827" s="460" t="s">
        <v>189</v>
      </c>
      <c r="H827" s="492" t="s">
        <v>564</v>
      </c>
      <c r="I827" s="582" t="str">
        <f>VLOOKUP(H827,'9a-Typen vloeren'!$A$10:$B$40,2,FALSE)</f>
        <v>Schrobben</v>
      </c>
      <c r="J827" s="586">
        <v>15.8</v>
      </c>
      <c r="K827" s="433">
        <f t="shared" si="65"/>
        <v>0</v>
      </c>
      <c r="L827" s="433">
        <f t="shared" si="66"/>
        <v>15.8</v>
      </c>
      <c r="M827" s="433">
        <f t="shared" si="67"/>
        <v>0</v>
      </c>
      <c r="N827" s="672"/>
      <c r="O827" s="729">
        <f>IF(N827="",0,N827*K827/'9b-Vloeronderhoud'!$F$4)</f>
        <v>0</v>
      </c>
      <c r="P827" s="672"/>
      <c r="Q827" s="729" t="e">
        <f>IF(O827="",0,P827*L827/'9b-Vloeronderhoud'!$F$6)</f>
        <v>#DIV/0!</v>
      </c>
      <c r="R827" s="449">
        <v>1</v>
      </c>
      <c r="S827" s="672">
        <v>40</v>
      </c>
      <c r="T827" s="161" t="e">
        <f t="shared" si="63"/>
        <v>#DIV/0!</v>
      </c>
      <c r="U827" s="162">
        <f>IF(S827="nio",0,IF(S827&gt;0,VLOOKUP(G827,'3-Productie normen'!A:K,VLOOKUP(S827,'3-Productie normen'!L:N,3,FALSE),FALSE)))</f>
        <v>0</v>
      </c>
      <c r="V827" s="162">
        <f>VLOOKUP(G827,'3-Productie normen'!A:K,10,FALSE)</f>
        <v>1494.1700078582762</v>
      </c>
      <c r="W827" s="163">
        <f>VLOOKUP(G827,'3-Productie normen'!A:K,11,FALSE)</f>
        <v>0</v>
      </c>
      <c r="X827" s="163"/>
      <c r="Z827" s="129">
        <f t="shared" si="64"/>
        <v>632</v>
      </c>
    </row>
    <row r="828" spans="1:26" ht="14.1" customHeight="1">
      <c r="A828" s="144">
        <v>866</v>
      </c>
      <c r="B828" s="525" t="s">
        <v>262</v>
      </c>
      <c r="C828" s="160" t="s">
        <v>562</v>
      </c>
      <c r="D828" s="132" t="s">
        <v>98</v>
      </c>
      <c r="E828" s="702">
        <v>35</v>
      </c>
      <c r="F828" s="494" t="s">
        <v>558</v>
      </c>
      <c r="G828" s="460" t="s">
        <v>286</v>
      </c>
      <c r="H828" s="492" t="s">
        <v>564</v>
      </c>
      <c r="I828" s="582" t="str">
        <f>VLOOKUP(H828,'9a-Typen vloeren'!$A$10:$B$40,2,FALSE)</f>
        <v>Schrobben</v>
      </c>
      <c r="J828" s="586">
        <v>2.4</v>
      </c>
      <c r="K828" s="433">
        <f t="shared" si="65"/>
        <v>0</v>
      </c>
      <c r="L828" s="433">
        <f t="shared" si="66"/>
        <v>2.4</v>
      </c>
      <c r="M828" s="433">
        <f t="shared" si="67"/>
        <v>0</v>
      </c>
      <c r="N828" s="672"/>
      <c r="O828" s="729">
        <f>IF(N828="",0,N828*K828/'9b-Vloeronderhoud'!$F$4)</f>
        <v>0</v>
      </c>
      <c r="P828" s="672">
        <v>3</v>
      </c>
      <c r="Q828" s="729" t="e">
        <f>IF(O828="",0,P828*L828/'9b-Vloeronderhoud'!$F$6)</f>
        <v>#DIV/0!</v>
      </c>
      <c r="R828" s="449">
        <v>1</v>
      </c>
      <c r="S828" s="672">
        <v>120</v>
      </c>
      <c r="T828" s="161" t="e">
        <f t="shared" si="63"/>
        <v>#DIV/0!</v>
      </c>
      <c r="U828" s="162">
        <f>IF(S828="nio",0,IF(S828&gt;0,VLOOKUP(G828,'3-Productie normen'!A:K,VLOOKUP(S828,'3-Productie normen'!L:N,3,FALSE),FALSE)))</f>
        <v>0</v>
      </c>
      <c r="V828" s="162">
        <f>VLOOKUP(G828,'3-Productie normen'!A:K,10,FALSE)</f>
        <v>6152.9500017547598</v>
      </c>
      <c r="W828" s="163">
        <f>VLOOKUP(G828,'3-Productie normen'!A:K,11,FALSE)</f>
        <v>0</v>
      </c>
      <c r="X828" s="163"/>
      <c r="Z828" s="129">
        <f t="shared" si="64"/>
        <v>288</v>
      </c>
    </row>
    <row r="829" spans="1:26" ht="14.1" customHeight="1">
      <c r="A829" s="144">
        <v>867</v>
      </c>
      <c r="B829" s="525" t="s">
        <v>262</v>
      </c>
      <c r="C829" s="160" t="s">
        <v>562</v>
      </c>
      <c r="D829" s="132" t="s">
        <v>98</v>
      </c>
      <c r="E829" s="702">
        <v>36</v>
      </c>
      <c r="F829" s="494" t="s">
        <v>559</v>
      </c>
      <c r="G829" s="460" t="s">
        <v>881</v>
      </c>
      <c r="H829" s="504" t="s">
        <v>375</v>
      </c>
      <c r="I829" s="582" t="str">
        <f>VLOOKUP(H829,'9a-Typen vloeren'!$A$10:$B$40,2,FALSE)</f>
        <v>n.v.t.</v>
      </c>
      <c r="J829" s="586">
        <v>2</v>
      </c>
      <c r="K829" s="433">
        <f t="shared" si="65"/>
        <v>0</v>
      </c>
      <c r="L829" s="433">
        <f t="shared" si="66"/>
        <v>0</v>
      </c>
      <c r="M829" s="433">
        <f t="shared" si="67"/>
        <v>0</v>
      </c>
      <c r="N829" s="672"/>
      <c r="O829" s="729">
        <f>IF(N829="",0,N829*K829/'9b-Vloeronderhoud'!$F$4)</f>
        <v>0</v>
      </c>
      <c r="P829" s="672"/>
      <c r="Q829" s="729" t="e">
        <f>IF(O829="",0,P829*L829/'9b-Vloeronderhoud'!$F$6)</f>
        <v>#DIV/0!</v>
      </c>
      <c r="R829" s="449">
        <v>1</v>
      </c>
      <c r="S829" s="672" t="s">
        <v>179</v>
      </c>
      <c r="T829" s="161">
        <f t="shared" si="63"/>
        <v>0</v>
      </c>
      <c r="U829" s="162">
        <f>IF(S829="nio",0,IF(S829&gt;0,VLOOKUP(G829,'3-Productie normen'!A:K,VLOOKUP(S829,'3-Productie normen'!L:N,3,FALSE),FALSE)))</f>
        <v>0</v>
      </c>
      <c r="V829" s="162">
        <f>VLOOKUP(G829,'3-Productie normen'!A:K,10,FALSE)</f>
        <v>5262.809993648526</v>
      </c>
      <c r="W829" s="163">
        <f>VLOOKUP(G829,'3-Productie normen'!A:K,11,FALSE)</f>
        <v>0</v>
      </c>
      <c r="X829" s="163"/>
      <c r="Z829" s="129">
        <f t="shared" si="64"/>
        <v>0</v>
      </c>
    </row>
    <row r="830" spans="1:26" ht="14.1" customHeight="1">
      <c r="A830" s="144">
        <v>868</v>
      </c>
      <c r="B830" s="525" t="s">
        <v>262</v>
      </c>
      <c r="C830" s="160" t="s">
        <v>562</v>
      </c>
      <c r="D830" s="132" t="s">
        <v>98</v>
      </c>
      <c r="E830" s="702">
        <v>37</v>
      </c>
      <c r="F830" s="494" t="s">
        <v>452</v>
      </c>
      <c r="G830" s="460" t="s">
        <v>18</v>
      </c>
      <c r="H830" s="492" t="s">
        <v>968</v>
      </c>
      <c r="I830" s="582" t="str">
        <f>VLOOKUP(H830,'9a-Typen vloeren'!$A$10:$B$40,2,FALSE)</f>
        <v>zie kwaliteitsontwerp</v>
      </c>
      <c r="J830" s="586">
        <v>4.7</v>
      </c>
      <c r="K830" s="433">
        <f t="shared" si="65"/>
        <v>0</v>
      </c>
      <c r="L830" s="433">
        <f t="shared" si="66"/>
        <v>0</v>
      </c>
      <c r="M830" s="433">
        <f t="shared" si="67"/>
        <v>0</v>
      </c>
      <c r="N830" s="672"/>
      <c r="O830" s="729">
        <f>IF(N830="",0,N830*K830/'9b-Vloeronderhoud'!$F$4)</f>
        <v>0</v>
      </c>
      <c r="P830" s="672"/>
      <c r="Q830" s="729" t="e">
        <f>IF(O830="",0,P830*L830/'9b-Vloeronderhoud'!$F$6)</f>
        <v>#DIV/0!</v>
      </c>
      <c r="R830" s="449">
        <v>1</v>
      </c>
      <c r="S830" s="672">
        <v>190</v>
      </c>
      <c r="T830" s="161" t="e">
        <f t="shared" si="63"/>
        <v>#DIV/0!</v>
      </c>
      <c r="U830" s="162">
        <f>IF(S830="nio",0,IF(S830&gt;0,VLOOKUP(G830,'3-Productie normen'!A:K,VLOOKUP(S830,'3-Productie normen'!L:N,3,FALSE),FALSE)))</f>
        <v>0</v>
      </c>
      <c r="V830" s="162">
        <f>VLOOKUP(G830,'3-Productie normen'!A:K,10,FALSE)</f>
        <v>1859.5880019121171</v>
      </c>
      <c r="W830" s="163">
        <f>VLOOKUP(G830,'3-Productie normen'!A:K,11,FALSE)</f>
        <v>0</v>
      </c>
      <c r="X830" s="163"/>
      <c r="Z830" s="129">
        <f t="shared" si="64"/>
        <v>893</v>
      </c>
    </row>
    <row r="831" spans="1:26" ht="14.1" customHeight="1">
      <c r="A831" s="144">
        <v>869</v>
      </c>
      <c r="B831" s="525" t="s">
        <v>262</v>
      </c>
      <c r="C831" s="160" t="s">
        <v>562</v>
      </c>
      <c r="D831" s="132" t="s">
        <v>98</v>
      </c>
      <c r="E831" s="702">
        <v>38</v>
      </c>
      <c r="F831" s="494" t="s">
        <v>452</v>
      </c>
      <c r="G831" s="122" t="s">
        <v>18</v>
      </c>
      <c r="H831" s="492" t="s">
        <v>968</v>
      </c>
      <c r="I831" s="582" t="str">
        <f>VLOOKUP(H831,'9a-Typen vloeren'!$A$10:$B$40,2,FALSE)</f>
        <v>zie kwaliteitsontwerp</v>
      </c>
      <c r="J831" s="586">
        <v>4.7</v>
      </c>
      <c r="K831" s="433">
        <f t="shared" si="65"/>
        <v>0</v>
      </c>
      <c r="L831" s="433">
        <f t="shared" si="66"/>
        <v>0</v>
      </c>
      <c r="M831" s="433">
        <f t="shared" si="67"/>
        <v>0</v>
      </c>
      <c r="N831" s="672"/>
      <c r="O831" s="729">
        <f>IF(N831="",0,N831*K831/'9b-Vloeronderhoud'!$F$4)</f>
        <v>0</v>
      </c>
      <c r="P831" s="672"/>
      <c r="Q831" s="729" t="e">
        <f>IF(O831="",0,P831*L831/'9b-Vloeronderhoud'!$F$6)</f>
        <v>#DIV/0!</v>
      </c>
      <c r="R831" s="449">
        <v>1</v>
      </c>
      <c r="S831" s="672">
        <v>190</v>
      </c>
      <c r="T831" s="161" t="e">
        <f t="shared" si="63"/>
        <v>#DIV/0!</v>
      </c>
      <c r="U831" s="162">
        <f>IF(S831="nio",0,IF(S831&gt;0,VLOOKUP(G831,'3-Productie normen'!A:K,VLOOKUP(S831,'3-Productie normen'!L:N,3,FALSE),FALSE)))</f>
        <v>0</v>
      </c>
      <c r="V831" s="162">
        <f>VLOOKUP(G831,'3-Productie normen'!A:K,10,FALSE)</f>
        <v>1859.5880019121171</v>
      </c>
      <c r="W831" s="163">
        <f>VLOOKUP(G831,'3-Productie normen'!A:K,11,FALSE)</f>
        <v>0</v>
      </c>
      <c r="X831" s="163"/>
      <c r="Z831" s="129">
        <f t="shared" si="64"/>
        <v>893</v>
      </c>
    </row>
    <row r="832" spans="1:26" ht="14.1" customHeight="1">
      <c r="A832" s="144">
        <v>870</v>
      </c>
      <c r="B832" s="525" t="s">
        <v>262</v>
      </c>
      <c r="C832" s="160" t="s">
        <v>562</v>
      </c>
      <c r="D832" s="132" t="s">
        <v>98</v>
      </c>
      <c r="E832" s="702">
        <v>39</v>
      </c>
      <c r="F832" s="494" t="s">
        <v>400</v>
      </c>
      <c r="G832" s="460" t="s">
        <v>189</v>
      </c>
      <c r="H832" s="492" t="s">
        <v>564</v>
      </c>
      <c r="I832" s="582" t="str">
        <f>VLOOKUP(H832,'9a-Typen vloeren'!$A$10:$B$40,2,FALSE)</f>
        <v>Schrobben</v>
      </c>
      <c r="J832" s="586">
        <v>11.7</v>
      </c>
      <c r="K832" s="433">
        <f t="shared" si="65"/>
        <v>0</v>
      </c>
      <c r="L832" s="433">
        <f t="shared" si="66"/>
        <v>11.7</v>
      </c>
      <c r="M832" s="433">
        <f t="shared" si="67"/>
        <v>0</v>
      </c>
      <c r="N832" s="672"/>
      <c r="O832" s="729">
        <f>IF(N832="",0,N832*K832/'9b-Vloeronderhoud'!$F$4)</f>
        <v>0</v>
      </c>
      <c r="P832" s="672"/>
      <c r="Q832" s="729" t="e">
        <f>IF(O832="",0,P832*L832/'9b-Vloeronderhoud'!$F$6)</f>
        <v>#DIV/0!</v>
      </c>
      <c r="R832" s="449">
        <v>1</v>
      </c>
      <c r="S832" s="672">
        <v>40</v>
      </c>
      <c r="T832" s="161" t="e">
        <f t="shared" si="63"/>
        <v>#DIV/0!</v>
      </c>
      <c r="U832" s="162">
        <f>IF(S832="nio",0,IF(S832&gt;0,VLOOKUP(G832,'3-Productie normen'!A:K,VLOOKUP(S832,'3-Productie normen'!L:N,3,FALSE),FALSE)))</f>
        <v>0</v>
      </c>
      <c r="V832" s="162">
        <f>VLOOKUP(G832,'3-Productie normen'!A:K,10,FALSE)</f>
        <v>1494.1700078582762</v>
      </c>
      <c r="W832" s="163">
        <f>VLOOKUP(G832,'3-Productie normen'!A:K,11,FALSE)</f>
        <v>0</v>
      </c>
      <c r="X832" s="163"/>
      <c r="Z832" s="129">
        <f t="shared" si="64"/>
        <v>468</v>
      </c>
    </row>
    <row r="833" spans="1:26" ht="14.1" customHeight="1">
      <c r="A833" s="144">
        <v>871</v>
      </c>
      <c r="B833" s="525" t="s">
        <v>262</v>
      </c>
      <c r="C833" s="160" t="s">
        <v>562</v>
      </c>
      <c r="D833" s="132" t="s">
        <v>98</v>
      </c>
      <c r="E833" s="702">
        <v>40</v>
      </c>
      <c r="F833" s="126" t="s">
        <v>560</v>
      </c>
      <c r="G833" s="303" t="s">
        <v>862</v>
      </c>
      <c r="H833" s="492" t="s">
        <v>564</v>
      </c>
      <c r="I833" s="582" t="str">
        <f>VLOOKUP(H833,'9a-Typen vloeren'!$A$10:$B$40,2,FALSE)</f>
        <v>Schrobben</v>
      </c>
      <c r="J833" s="586">
        <v>150.80000000000001</v>
      </c>
      <c r="K833" s="433">
        <f t="shared" si="65"/>
        <v>0</v>
      </c>
      <c r="L833" s="433">
        <f t="shared" si="66"/>
        <v>150.80000000000001</v>
      </c>
      <c r="M833" s="433">
        <f t="shared" si="67"/>
        <v>0</v>
      </c>
      <c r="N833" s="672"/>
      <c r="O833" s="729">
        <f>IF(N833="",0,N833*K833/'9b-Vloeronderhoud'!$F$4)</f>
        <v>0</v>
      </c>
      <c r="P833" s="672">
        <v>3</v>
      </c>
      <c r="Q833" s="729" t="e">
        <f>IF(O833="",0,P833*L833/'9b-Vloeronderhoud'!$F$6)</f>
        <v>#DIV/0!</v>
      </c>
      <c r="R833" s="449">
        <v>1</v>
      </c>
      <c r="S833" s="672">
        <v>120</v>
      </c>
      <c r="T833" s="161" t="e">
        <f t="shared" si="63"/>
        <v>#DIV/0!</v>
      </c>
      <c r="U833" s="162">
        <f>IF(S833="nio",0,IF(S833&gt;0,VLOOKUP(G833,'3-Productie normen'!A:K,VLOOKUP(S833,'3-Productie normen'!L:N,3,FALSE),FALSE)))</f>
        <v>0</v>
      </c>
      <c r="V833" s="162">
        <f>VLOOKUP(G833,'3-Productie normen'!A:K,10,FALSE)</f>
        <v>4374.9900215911857</v>
      </c>
      <c r="W833" s="163">
        <f>VLOOKUP(G833,'3-Productie normen'!A:K,11,FALSE)</f>
        <v>0</v>
      </c>
      <c r="X833" s="163"/>
      <c r="Z833" s="129">
        <f t="shared" si="64"/>
        <v>18096</v>
      </c>
    </row>
    <row r="834" spans="1:26" ht="14.1" customHeight="1">
      <c r="A834" s="144">
        <v>872</v>
      </c>
      <c r="B834" s="525" t="s">
        <v>262</v>
      </c>
      <c r="C834" s="160" t="s">
        <v>562</v>
      </c>
      <c r="D834" s="132" t="s">
        <v>98</v>
      </c>
      <c r="E834" s="702">
        <v>41</v>
      </c>
      <c r="F834" s="494" t="s">
        <v>561</v>
      </c>
      <c r="G834" s="122" t="s">
        <v>421</v>
      </c>
      <c r="H834" s="492" t="s">
        <v>564</v>
      </c>
      <c r="I834" s="582" t="str">
        <f>VLOOKUP(H834,'9a-Typen vloeren'!$A$10:$B$40,2,FALSE)</f>
        <v>Schrobben</v>
      </c>
      <c r="J834" s="586">
        <v>31.7</v>
      </c>
      <c r="K834" s="433">
        <f t="shared" si="65"/>
        <v>0</v>
      </c>
      <c r="L834" s="433">
        <f t="shared" si="66"/>
        <v>31.7</v>
      </c>
      <c r="M834" s="433">
        <f t="shared" si="67"/>
        <v>0</v>
      </c>
      <c r="N834" s="672"/>
      <c r="O834" s="729">
        <f>IF(N834="",0,N834*K834/'9b-Vloeronderhoud'!$F$4)</f>
        <v>0</v>
      </c>
      <c r="P834" s="672"/>
      <c r="Q834" s="729" t="e">
        <f>IF(O834="",0,P834*L834/'9b-Vloeronderhoud'!$F$6)</f>
        <v>#DIV/0!</v>
      </c>
      <c r="R834" s="449">
        <v>1</v>
      </c>
      <c r="S834" s="672">
        <v>40</v>
      </c>
      <c r="T834" s="161" t="e">
        <f t="shared" si="63"/>
        <v>#DIV/0!</v>
      </c>
      <c r="U834" s="162">
        <f>IF(S834="nio",0,IF(S834&gt;0,VLOOKUP(G834,'3-Productie normen'!A:K,VLOOKUP(S834,'3-Productie normen'!L:N,3,FALSE),FALSE)))</f>
        <v>0</v>
      </c>
      <c r="V834" s="162">
        <f>VLOOKUP(G834,'3-Productie normen'!A:K,10,FALSE)</f>
        <v>865.11000061035156</v>
      </c>
      <c r="W834" s="163">
        <f>VLOOKUP(G834,'3-Productie normen'!A:K,11,FALSE)</f>
        <v>0</v>
      </c>
      <c r="X834" s="163"/>
      <c r="Z834" s="129">
        <f t="shared" si="64"/>
        <v>1268</v>
      </c>
    </row>
    <row r="835" spans="1:26" ht="14.1" customHeight="1">
      <c r="A835" s="144">
        <v>873</v>
      </c>
      <c r="B835" s="525" t="s">
        <v>262</v>
      </c>
      <c r="C835" s="160" t="s">
        <v>562</v>
      </c>
      <c r="D835" s="132" t="s">
        <v>98</v>
      </c>
      <c r="E835" s="702">
        <v>42</v>
      </c>
      <c r="F835" s="494" t="s">
        <v>496</v>
      </c>
      <c r="G835" s="122" t="s">
        <v>190</v>
      </c>
      <c r="H835" s="492" t="s">
        <v>564</v>
      </c>
      <c r="I835" s="582" t="str">
        <f>VLOOKUP(H835,'9a-Typen vloeren'!$A$10:$B$40,2,FALSE)</f>
        <v>Schrobben</v>
      </c>
      <c r="J835" s="586">
        <v>9.8000000000000007</v>
      </c>
      <c r="K835" s="433">
        <f t="shared" si="65"/>
        <v>0</v>
      </c>
      <c r="L835" s="433">
        <f t="shared" si="66"/>
        <v>9.8000000000000007</v>
      </c>
      <c r="M835" s="433">
        <f t="shared" si="67"/>
        <v>0</v>
      </c>
      <c r="N835" s="672"/>
      <c r="O835" s="729">
        <f>IF(N835="",0,N835*K835/'9b-Vloeronderhoud'!$F$4)</f>
        <v>0</v>
      </c>
      <c r="P835" s="672">
        <v>3</v>
      </c>
      <c r="Q835" s="729" t="e">
        <f>IF(O835="",0,P835*L835/'9b-Vloeronderhoud'!$F$6)</f>
        <v>#DIV/0!</v>
      </c>
      <c r="R835" s="449">
        <v>1</v>
      </c>
      <c r="S835" s="672">
        <v>40</v>
      </c>
      <c r="T835" s="161" t="e">
        <f t="shared" si="63"/>
        <v>#DIV/0!</v>
      </c>
      <c r="U835" s="162">
        <f>IF(S835="nio",0,IF(S835&gt;0,VLOOKUP(G835,'3-Productie normen'!A:K,VLOOKUP(S835,'3-Productie normen'!L:N,3,FALSE),FALSE)))</f>
        <v>0</v>
      </c>
      <c r="V835" s="162">
        <f>VLOOKUP(G835,'3-Productie normen'!A:K,10,FALSE)</f>
        <v>281.65000052452086</v>
      </c>
      <c r="W835" s="163">
        <f>VLOOKUP(G835,'3-Productie normen'!A:K,11,FALSE)</f>
        <v>0</v>
      </c>
      <c r="X835" s="163"/>
      <c r="Z835" s="129">
        <f t="shared" si="64"/>
        <v>392</v>
      </c>
    </row>
    <row r="836" spans="1:26" ht="14.1" customHeight="1">
      <c r="A836" s="144">
        <v>874</v>
      </c>
      <c r="B836" s="525" t="s">
        <v>262</v>
      </c>
      <c r="C836" s="160" t="s">
        <v>562</v>
      </c>
      <c r="D836" s="132" t="s">
        <v>98</v>
      </c>
      <c r="E836" s="702">
        <v>43</v>
      </c>
      <c r="F836" s="494" t="s">
        <v>552</v>
      </c>
      <c r="G836" s="460" t="s">
        <v>881</v>
      </c>
      <c r="H836" s="504" t="s">
        <v>375</v>
      </c>
      <c r="I836" s="582" t="str">
        <f>VLOOKUP(H836,'9a-Typen vloeren'!$A$10:$B$40,2,FALSE)</f>
        <v>n.v.t.</v>
      </c>
      <c r="J836" s="586">
        <v>6.8</v>
      </c>
      <c r="K836" s="433">
        <f t="shared" si="65"/>
        <v>0</v>
      </c>
      <c r="L836" s="433">
        <f t="shared" si="66"/>
        <v>0</v>
      </c>
      <c r="M836" s="433">
        <f t="shared" si="67"/>
        <v>0</v>
      </c>
      <c r="N836" s="672"/>
      <c r="O836" s="729">
        <f>IF(N836="",0,N836*K836/'9b-Vloeronderhoud'!$F$4)</f>
        <v>0</v>
      </c>
      <c r="P836" s="672"/>
      <c r="Q836" s="729" t="e">
        <f>IF(O836="",0,P836*L836/'9b-Vloeronderhoud'!$F$6)</f>
        <v>#DIV/0!</v>
      </c>
      <c r="R836" s="449">
        <v>1</v>
      </c>
      <c r="S836" s="672" t="s">
        <v>179</v>
      </c>
      <c r="T836" s="161">
        <f t="shared" si="63"/>
        <v>0</v>
      </c>
      <c r="U836" s="162">
        <f>IF(S836="nio",0,IF(S836&gt;0,VLOOKUP(G836,'3-Productie normen'!A:K,VLOOKUP(S836,'3-Productie normen'!L:N,3,FALSE),FALSE)))</f>
        <v>0</v>
      </c>
      <c r="V836" s="162">
        <f>VLOOKUP(G836,'3-Productie normen'!A:K,10,FALSE)</f>
        <v>5262.809993648526</v>
      </c>
      <c r="W836" s="163">
        <f>VLOOKUP(G836,'3-Productie normen'!A:K,11,FALSE)</f>
        <v>0</v>
      </c>
      <c r="X836" s="163"/>
      <c r="Z836" s="129">
        <f t="shared" si="64"/>
        <v>0</v>
      </c>
    </row>
    <row r="837" spans="1:26" ht="14.1" customHeight="1">
      <c r="A837" s="144">
        <v>875</v>
      </c>
      <c r="B837" s="525" t="s">
        <v>262</v>
      </c>
      <c r="C837" s="160" t="s">
        <v>562</v>
      </c>
      <c r="D837" s="132" t="s">
        <v>98</v>
      </c>
      <c r="E837" s="702">
        <v>44</v>
      </c>
      <c r="F837" s="494" t="s">
        <v>452</v>
      </c>
      <c r="G837" s="546" t="s">
        <v>18</v>
      </c>
      <c r="H837" s="492" t="s">
        <v>968</v>
      </c>
      <c r="I837" s="582" t="str">
        <f>VLOOKUP(H837,'9a-Typen vloeren'!$A$10:$B$40,2,FALSE)</f>
        <v>zie kwaliteitsontwerp</v>
      </c>
      <c r="J837" s="586">
        <v>1.8</v>
      </c>
      <c r="K837" s="433">
        <f t="shared" si="65"/>
        <v>0</v>
      </c>
      <c r="L837" s="433">
        <f t="shared" si="66"/>
        <v>0</v>
      </c>
      <c r="M837" s="433">
        <f t="shared" si="67"/>
        <v>0</v>
      </c>
      <c r="N837" s="672"/>
      <c r="O837" s="729">
        <f>IF(N837="",0,N837*K837/'9b-Vloeronderhoud'!$F$4)</f>
        <v>0</v>
      </c>
      <c r="P837" s="672"/>
      <c r="Q837" s="729" t="e">
        <f>IF(O837="",0,P837*L837/'9b-Vloeronderhoud'!$F$6)</f>
        <v>#DIV/0!</v>
      </c>
      <c r="R837" s="449">
        <v>1</v>
      </c>
      <c r="S837" s="672">
        <v>190</v>
      </c>
      <c r="T837" s="161" t="e">
        <f t="shared" si="63"/>
        <v>#DIV/0!</v>
      </c>
      <c r="U837" s="162">
        <f>IF(S837="nio",0,IF(S837&gt;0,VLOOKUP(G837,'3-Productie normen'!A:K,VLOOKUP(S837,'3-Productie normen'!L:N,3,FALSE),FALSE)))</f>
        <v>0</v>
      </c>
      <c r="V837" s="162">
        <f>VLOOKUP(G837,'3-Productie normen'!A:K,10,FALSE)</f>
        <v>1859.5880019121171</v>
      </c>
      <c r="W837" s="163">
        <f>VLOOKUP(G837,'3-Productie normen'!A:K,11,FALSE)</f>
        <v>0</v>
      </c>
      <c r="X837" s="163"/>
      <c r="Z837" s="129">
        <f t="shared" si="64"/>
        <v>342</v>
      </c>
    </row>
    <row r="838" spans="1:26" ht="14.1" customHeight="1">
      <c r="A838" s="144">
        <v>876</v>
      </c>
      <c r="B838" s="525" t="s">
        <v>262</v>
      </c>
      <c r="C838" s="160" t="s">
        <v>562</v>
      </c>
      <c r="D838" s="132" t="s">
        <v>98</v>
      </c>
      <c r="E838" s="702">
        <v>45</v>
      </c>
      <c r="F838" s="494" t="s">
        <v>481</v>
      </c>
      <c r="G838" s="460" t="s">
        <v>287</v>
      </c>
      <c r="H838" s="504" t="s">
        <v>375</v>
      </c>
      <c r="I838" s="582" t="str">
        <f>VLOOKUP(H838,'9a-Typen vloeren'!$A$10:$B$40,2,FALSE)</f>
        <v>n.v.t.</v>
      </c>
      <c r="J838" s="586">
        <v>15</v>
      </c>
      <c r="K838" s="433">
        <f t="shared" si="65"/>
        <v>0</v>
      </c>
      <c r="L838" s="433">
        <f t="shared" si="66"/>
        <v>0</v>
      </c>
      <c r="M838" s="433">
        <f t="shared" si="67"/>
        <v>0</v>
      </c>
      <c r="N838" s="672"/>
      <c r="O838" s="729">
        <f>IF(N838="",0,N838*K838/'9b-Vloeronderhoud'!$F$4)</f>
        <v>0</v>
      </c>
      <c r="P838" s="672"/>
      <c r="Q838" s="729" t="e">
        <f>IF(O838="",0,P838*L838/'9b-Vloeronderhoud'!$F$6)</f>
        <v>#DIV/0!</v>
      </c>
      <c r="R838" s="449">
        <v>1</v>
      </c>
      <c r="S838" s="672">
        <v>80</v>
      </c>
      <c r="T838" s="161" t="e">
        <f t="shared" si="63"/>
        <v>#DIV/0!</v>
      </c>
      <c r="U838" s="162">
        <f>IF(S838="nio",0,IF(S838&gt;0,VLOOKUP(G838,'3-Productie normen'!A:K,VLOOKUP(S838,'3-Productie normen'!L:N,3,FALSE),FALSE)))</f>
        <v>0</v>
      </c>
      <c r="V838" s="162">
        <f>VLOOKUP(G838,'3-Productie normen'!A:K,10,FALSE)</f>
        <v>519.460002565384</v>
      </c>
      <c r="W838" s="163">
        <f>VLOOKUP(G838,'3-Productie normen'!A:K,11,FALSE)</f>
        <v>0</v>
      </c>
      <c r="X838" s="163"/>
      <c r="Z838" s="129">
        <f t="shared" si="64"/>
        <v>1200</v>
      </c>
    </row>
    <row r="839" spans="1:26" ht="14.1" customHeight="1">
      <c r="A839" s="144">
        <v>877</v>
      </c>
      <c r="B839" s="485" t="s">
        <v>262</v>
      </c>
      <c r="C839" s="160" t="s">
        <v>562</v>
      </c>
      <c r="D839" s="132">
        <v>1</v>
      </c>
      <c r="E839" s="702" t="s">
        <v>351</v>
      </c>
      <c r="F839" s="494" t="s">
        <v>404</v>
      </c>
      <c r="G839" s="533" t="s">
        <v>286</v>
      </c>
      <c r="H839" s="492" t="s">
        <v>564</v>
      </c>
      <c r="I839" s="582" t="str">
        <f>VLOOKUP(H839,'9a-Typen vloeren'!$A$10:$B$40,2,FALSE)</f>
        <v>Schrobben</v>
      </c>
      <c r="J839" s="586">
        <v>22.2</v>
      </c>
      <c r="K839" s="433">
        <f t="shared" si="65"/>
        <v>0</v>
      </c>
      <c r="L839" s="433">
        <f t="shared" si="66"/>
        <v>22.2</v>
      </c>
      <c r="M839" s="433">
        <f t="shared" si="67"/>
        <v>0</v>
      </c>
      <c r="N839" s="672"/>
      <c r="O839" s="729">
        <f>IF(N839="",0,N839*K839/'9b-Vloeronderhoud'!$F$4)</f>
        <v>0</v>
      </c>
      <c r="P839" s="672">
        <v>3</v>
      </c>
      <c r="Q839" s="729" t="e">
        <f>IF(O839="",0,P839*L839/'9b-Vloeronderhoud'!$F$6)</f>
        <v>#DIV/0!</v>
      </c>
      <c r="R839" s="449">
        <v>1</v>
      </c>
      <c r="S839" s="672">
        <v>120</v>
      </c>
      <c r="T839" s="161" t="e">
        <f t="shared" si="63"/>
        <v>#DIV/0!</v>
      </c>
      <c r="U839" s="162">
        <f>IF(S839="nio",0,IF(S839&gt;0,VLOOKUP(G839,'3-Productie normen'!A:K,VLOOKUP(S839,'3-Productie normen'!L:N,3,FALSE),FALSE)))</f>
        <v>0</v>
      </c>
      <c r="V839" s="162">
        <f>VLOOKUP(G839,'3-Productie normen'!A:K,10,FALSE)</f>
        <v>6152.9500017547598</v>
      </c>
      <c r="W839" s="163">
        <f>VLOOKUP(G839,'3-Productie normen'!A:K,11,FALSE)</f>
        <v>0</v>
      </c>
      <c r="X839" s="163"/>
      <c r="Z839" s="129">
        <f t="shared" si="64"/>
        <v>2664</v>
      </c>
    </row>
    <row r="840" spans="1:26" ht="14.1" customHeight="1">
      <c r="A840" s="144">
        <v>878</v>
      </c>
      <c r="B840" s="485" t="s">
        <v>262</v>
      </c>
      <c r="C840" s="160" t="s">
        <v>562</v>
      </c>
      <c r="D840" s="132">
        <v>1</v>
      </c>
      <c r="E840" s="702" t="s">
        <v>352</v>
      </c>
      <c r="F840" s="494" t="s">
        <v>346</v>
      </c>
      <c r="G840" s="460" t="s">
        <v>881</v>
      </c>
      <c r="H840" s="504" t="s">
        <v>375</v>
      </c>
      <c r="I840" s="582" t="str">
        <f>VLOOKUP(H840,'9a-Typen vloeren'!$A$10:$B$40,2,FALSE)</f>
        <v>n.v.t.</v>
      </c>
      <c r="J840" s="586">
        <v>4.8</v>
      </c>
      <c r="K840" s="433">
        <f t="shared" si="65"/>
        <v>0</v>
      </c>
      <c r="L840" s="433">
        <f t="shared" si="66"/>
        <v>0</v>
      </c>
      <c r="M840" s="433">
        <f t="shared" si="67"/>
        <v>0</v>
      </c>
      <c r="N840" s="672"/>
      <c r="O840" s="729">
        <f>IF(N840="",0,N840*K840/'9b-Vloeronderhoud'!$F$4)</f>
        <v>0</v>
      </c>
      <c r="P840" s="672"/>
      <c r="Q840" s="729" t="e">
        <f>IF(O840="",0,P840*L840/'9b-Vloeronderhoud'!$F$6)</f>
        <v>#DIV/0!</v>
      </c>
      <c r="R840" s="449">
        <v>1</v>
      </c>
      <c r="S840" s="672" t="s">
        <v>179</v>
      </c>
      <c r="T840" s="161">
        <f t="shared" si="63"/>
        <v>0</v>
      </c>
      <c r="U840" s="162">
        <f>IF(S840="nio",0,IF(S840&gt;0,VLOOKUP(G840,'3-Productie normen'!A:K,VLOOKUP(S840,'3-Productie normen'!L:N,3,FALSE),FALSE)))</f>
        <v>0</v>
      </c>
      <c r="V840" s="162">
        <f>VLOOKUP(G840,'3-Productie normen'!A:K,10,FALSE)</f>
        <v>5262.809993648526</v>
      </c>
      <c r="W840" s="163">
        <f>VLOOKUP(G840,'3-Productie normen'!A:K,11,FALSE)</f>
        <v>0</v>
      </c>
      <c r="X840" s="163"/>
      <c r="Z840" s="129">
        <f t="shared" si="64"/>
        <v>0</v>
      </c>
    </row>
    <row r="841" spans="1:26" ht="14.1" customHeight="1">
      <c r="A841" s="144">
        <v>879</v>
      </c>
      <c r="B841" s="485" t="s">
        <v>262</v>
      </c>
      <c r="C841" s="160" t="s">
        <v>562</v>
      </c>
      <c r="D841" s="132">
        <v>1</v>
      </c>
      <c r="E841" s="702" t="s">
        <v>354</v>
      </c>
      <c r="F841" s="494" t="s">
        <v>470</v>
      </c>
      <c r="G841" s="460" t="s">
        <v>221</v>
      </c>
      <c r="H841" s="492" t="s">
        <v>564</v>
      </c>
      <c r="I841" s="582" t="str">
        <f>VLOOKUP(H841,'9a-Typen vloeren'!$A$10:$B$40,2,FALSE)</f>
        <v>Schrobben</v>
      </c>
      <c r="J841" s="586">
        <v>56.1</v>
      </c>
      <c r="K841" s="433">
        <f t="shared" si="65"/>
        <v>0</v>
      </c>
      <c r="L841" s="433">
        <f t="shared" si="66"/>
        <v>56.1</v>
      </c>
      <c r="M841" s="433">
        <f t="shared" si="67"/>
        <v>0</v>
      </c>
      <c r="N841" s="672"/>
      <c r="O841" s="729">
        <f>IF(N841="",0,N841*K841/'9b-Vloeronderhoud'!$F$4)</f>
        <v>0</v>
      </c>
      <c r="P841" s="672"/>
      <c r="Q841" s="729" t="e">
        <f>IF(O841="",0,P841*L841/'9b-Vloeronderhoud'!$F$6)</f>
        <v>#DIV/0!</v>
      </c>
      <c r="R841" s="449">
        <v>1</v>
      </c>
      <c r="S841" s="688" t="s">
        <v>179</v>
      </c>
      <c r="T841" s="161">
        <f t="shared" si="63"/>
        <v>0</v>
      </c>
      <c r="U841" s="162">
        <f>IF(S841="nio",0,IF(S841&gt;0,VLOOKUP(G841,'3-Productie normen'!A:K,VLOOKUP(S841,'3-Productie normen'!L:N,3,FALSE),FALSE)))</f>
        <v>0</v>
      </c>
      <c r="V841" s="162">
        <f>VLOOKUP(G841,'3-Productie normen'!A:K,10,FALSE)</f>
        <v>16013.110036668773</v>
      </c>
      <c r="W841" s="163">
        <f>VLOOKUP(G841,'3-Productie normen'!A:K,11,FALSE)</f>
        <v>0</v>
      </c>
      <c r="X841" s="163"/>
      <c r="Z841" s="129">
        <f t="shared" si="64"/>
        <v>0</v>
      </c>
    </row>
    <row r="842" spans="1:26" ht="14.1" customHeight="1">
      <c r="A842" s="144">
        <v>880</v>
      </c>
      <c r="B842" s="485" t="s">
        <v>262</v>
      </c>
      <c r="C842" s="160" t="s">
        <v>562</v>
      </c>
      <c r="D842" s="132">
        <v>1</v>
      </c>
      <c r="E842" s="702" t="s">
        <v>355</v>
      </c>
      <c r="F842" s="494" t="s">
        <v>470</v>
      </c>
      <c r="G842" s="460" t="s">
        <v>221</v>
      </c>
      <c r="H842" s="492" t="s">
        <v>564</v>
      </c>
      <c r="I842" s="582" t="str">
        <f>VLOOKUP(H842,'9a-Typen vloeren'!$A$10:$B$40,2,FALSE)</f>
        <v>Schrobben</v>
      </c>
      <c r="J842" s="586">
        <v>56.1</v>
      </c>
      <c r="K842" s="433">
        <f t="shared" si="65"/>
        <v>0</v>
      </c>
      <c r="L842" s="433">
        <f t="shared" si="66"/>
        <v>56.1</v>
      </c>
      <c r="M842" s="433">
        <f t="shared" si="67"/>
        <v>0</v>
      </c>
      <c r="N842" s="672"/>
      <c r="O842" s="729">
        <f>IF(N842="",0,N842*K842/'9b-Vloeronderhoud'!$F$4)</f>
        <v>0</v>
      </c>
      <c r="P842" s="672"/>
      <c r="Q842" s="729" t="e">
        <f>IF(O842="",0,P842*L842/'9b-Vloeronderhoud'!$F$6)</f>
        <v>#DIV/0!</v>
      </c>
      <c r="R842" s="449">
        <v>1</v>
      </c>
      <c r="S842" s="688" t="s">
        <v>179</v>
      </c>
      <c r="T842" s="161">
        <f t="shared" ref="T842:T905" si="68">IF(S842="nio",0,IF(S842&gt;0,S842*J842/U842,0))*R842</f>
        <v>0</v>
      </c>
      <c r="U842" s="162">
        <f>IF(S842="nio",0,IF(S842&gt;0,VLOOKUP(G842,'3-Productie normen'!A:K,VLOOKUP(S842,'3-Productie normen'!L:N,3,FALSE),FALSE)))</f>
        <v>0</v>
      </c>
      <c r="V842" s="162">
        <f>VLOOKUP(G842,'3-Productie normen'!A:K,10,FALSE)</f>
        <v>16013.110036668773</v>
      </c>
      <c r="W842" s="163">
        <f>VLOOKUP(G842,'3-Productie normen'!A:K,11,FALSE)</f>
        <v>0</v>
      </c>
      <c r="X842" s="163"/>
      <c r="Z842" s="129">
        <f t="shared" ref="Z842:Z905" si="69">SUM(S842:S842)*J842</f>
        <v>0</v>
      </c>
    </row>
    <row r="843" spans="1:26" ht="14.1" customHeight="1">
      <c r="A843" s="144">
        <v>881</v>
      </c>
      <c r="B843" s="485" t="s">
        <v>262</v>
      </c>
      <c r="C843" s="160" t="s">
        <v>562</v>
      </c>
      <c r="D843" s="132">
        <v>1</v>
      </c>
      <c r="E843" s="702" t="s">
        <v>356</v>
      </c>
      <c r="F843" s="494" t="s">
        <v>382</v>
      </c>
      <c r="G843" s="460" t="s">
        <v>881</v>
      </c>
      <c r="H843" s="504" t="s">
        <v>375</v>
      </c>
      <c r="I843" s="582" t="str">
        <f>VLOOKUP(H843,'9a-Typen vloeren'!$A$10:$B$40,2,FALSE)</f>
        <v>n.v.t.</v>
      </c>
      <c r="J843" s="586">
        <v>4.8</v>
      </c>
      <c r="K843" s="433">
        <f t="shared" si="65"/>
        <v>0</v>
      </c>
      <c r="L843" s="433">
        <f t="shared" si="66"/>
        <v>0</v>
      </c>
      <c r="M843" s="433">
        <f t="shared" si="67"/>
        <v>0</v>
      </c>
      <c r="N843" s="672"/>
      <c r="O843" s="729">
        <f>IF(N843="",0,N843*K843/'9b-Vloeronderhoud'!$F$4)</f>
        <v>0</v>
      </c>
      <c r="P843" s="672"/>
      <c r="Q843" s="729" t="e">
        <f>IF(O843="",0,P843*L843/'9b-Vloeronderhoud'!$F$6)</f>
        <v>#DIV/0!</v>
      </c>
      <c r="R843" s="449">
        <v>1</v>
      </c>
      <c r="S843" s="672" t="s">
        <v>179</v>
      </c>
      <c r="T843" s="161">
        <f t="shared" si="68"/>
        <v>0</v>
      </c>
      <c r="U843" s="162">
        <f>IF(S843="nio",0,IF(S843&gt;0,VLOOKUP(G843,'3-Productie normen'!A:K,VLOOKUP(S843,'3-Productie normen'!L:N,3,FALSE),FALSE)))</f>
        <v>0</v>
      </c>
      <c r="V843" s="162">
        <f>VLOOKUP(G843,'3-Productie normen'!A:K,10,FALSE)</f>
        <v>5262.809993648526</v>
      </c>
      <c r="W843" s="163">
        <f>VLOOKUP(G843,'3-Productie normen'!A:K,11,FALSE)</f>
        <v>0</v>
      </c>
      <c r="X843" s="163"/>
      <c r="Z843" s="129">
        <f t="shared" si="69"/>
        <v>0</v>
      </c>
    </row>
    <row r="844" spans="1:26" ht="14.1" customHeight="1">
      <c r="A844" s="144">
        <v>882</v>
      </c>
      <c r="B844" s="485" t="s">
        <v>262</v>
      </c>
      <c r="C844" s="160" t="s">
        <v>562</v>
      </c>
      <c r="D844" s="132">
        <v>1</v>
      </c>
      <c r="E844" s="702" t="s">
        <v>357</v>
      </c>
      <c r="F844" s="494" t="s">
        <v>267</v>
      </c>
      <c r="G844" s="303" t="s">
        <v>18</v>
      </c>
      <c r="H844" s="534" t="s">
        <v>954</v>
      </c>
      <c r="I844" s="582" t="str">
        <f>VLOOKUP(H844,'9a-Typen vloeren'!$A$10:$B$40,2,FALSE)</f>
        <v>zie kwaliteitsontwerp</v>
      </c>
      <c r="J844" s="586">
        <v>2.6</v>
      </c>
      <c r="K844" s="433">
        <f t="shared" si="65"/>
        <v>0</v>
      </c>
      <c r="L844" s="433">
        <f t="shared" si="66"/>
        <v>0</v>
      </c>
      <c r="M844" s="433">
        <f t="shared" si="67"/>
        <v>0</v>
      </c>
      <c r="N844" s="672"/>
      <c r="O844" s="729">
        <f>IF(N844="",0,N844*K844/'9b-Vloeronderhoud'!$F$4)</f>
        <v>0</v>
      </c>
      <c r="P844" s="672"/>
      <c r="Q844" s="729" t="e">
        <f>IF(O844="",0,P844*L844/'9b-Vloeronderhoud'!$F$6)</f>
        <v>#DIV/0!</v>
      </c>
      <c r="R844" s="449">
        <v>1</v>
      </c>
      <c r="S844" s="672">
        <v>190</v>
      </c>
      <c r="T844" s="161" t="e">
        <f t="shared" si="68"/>
        <v>#DIV/0!</v>
      </c>
      <c r="U844" s="162">
        <f>IF(S844="nio",0,IF(S844&gt;0,VLOOKUP(G844,'3-Productie normen'!A:K,VLOOKUP(S844,'3-Productie normen'!L:N,3,FALSE),FALSE)))</f>
        <v>0</v>
      </c>
      <c r="V844" s="162">
        <f>VLOOKUP(G844,'3-Productie normen'!A:K,10,FALSE)</f>
        <v>1859.5880019121171</v>
      </c>
      <c r="W844" s="163">
        <f>VLOOKUP(G844,'3-Productie normen'!A:K,11,FALSE)</f>
        <v>0</v>
      </c>
      <c r="X844" s="163"/>
      <c r="Z844" s="129">
        <f t="shared" si="69"/>
        <v>494</v>
      </c>
    </row>
    <row r="845" spans="1:26" ht="14.1" customHeight="1">
      <c r="A845" s="144">
        <v>883</v>
      </c>
      <c r="B845" s="485" t="s">
        <v>262</v>
      </c>
      <c r="C845" s="160" t="s">
        <v>562</v>
      </c>
      <c r="D845" s="132">
        <v>1</v>
      </c>
      <c r="E845" s="702" t="s">
        <v>358</v>
      </c>
      <c r="F845" s="494" t="s">
        <v>267</v>
      </c>
      <c r="G845" s="460" t="s">
        <v>18</v>
      </c>
      <c r="H845" s="534" t="s">
        <v>954</v>
      </c>
      <c r="I845" s="582" t="str">
        <f>VLOOKUP(H845,'9a-Typen vloeren'!$A$10:$B$40,2,FALSE)</f>
        <v>zie kwaliteitsontwerp</v>
      </c>
      <c r="J845" s="586">
        <v>2.6</v>
      </c>
      <c r="K845" s="433">
        <f t="shared" si="65"/>
        <v>0</v>
      </c>
      <c r="L845" s="433">
        <f t="shared" si="66"/>
        <v>0</v>
      </c>
      <c r="M845" s="433">
        <f t="shared" si="67"/>
        <v>0</v>
      </c>
      <c r="N845" s="672"/>
      <c r="O845" s="729">
        <f>IF(N845="",0,N845*K845/'9b-Vloeronderhoud'!$F$4)</f>
        <v>0</v>
      </c>
      <c r="P845" s="672"/>
      <c r="Q845" s="729" t="e">
        <f>IF(O845="",0,P845*L845/'9b-Vloeronderhoud'!$F$6)</f>
        <v>#DIV/0!</v>
      </c>
      <c r="R845" s="449">
        <v>1</v>
      </c>
      <c r="S845" s="672">
        <v>190</v>
      </c>
      <c r="T845" s="161" t="e">
        <f t="shared" si="68"/>
        <v>#DIV/0!</v>
      </c>
      <c r="U845" s="162">
        <f>IF(S845="nio",0,IF(S845&gt;0,VLOOKUP(G845,'3-Productie normen'!A:K,VLOOKUP(S845,'3-Productie normen'!L:N,3,FALSE),FALSE)))</f>
        <v>0</v>
      </c>
      <c r="V845" s="162">
        <f>VLOOKUP(G845,'3-Productie normen'!A:K,10,FALSE)</f>
        <v>1859.5880019121171</v>
      </c>
      <c r="W845" s="163">
        <f>VLOOKUP(G845,'3-Productie normen'!A:K,11,FALSE)</f>
        <v>0</v>
      </c>
      <c r="X845" s="163"/>
      <c r="Z845" s="129">
        <f t="shared" si="69"/>
        <v>494</v>
      </c>
    </row>
    <row r="846" spans="1:26" ht="14.1" customHeight="1">
      <c r="A846" s="144">
        <v>884</v>
      </c>
      <c r="B846" s="485" t="s">
        <v>232</v>
      </c>
      <c r="C846" s="160" t="s">
        <v>487</v>
      </c>
      <c r="D846" s="132" t="s">
        <v>98</v>
      </c>
      <c r="E846" s="702" t="s">
        <v>294</v>
      </c>
      <c r="F846" s="160" t="s">
        <v>99</v>
      </c>
      <c r="G846" s="122" t="s">
        <v>99</v>
      </c>
      <c r="H846" s="160" t="s">
        <v>409</v>
      </c>
      <c r="I846" s="582" t="str">
        <f>VLOOKUP(H846,'9a-Typen vloeren'!$A$10:$B$40,2,FALSE)</f>
        <v>n.v.t.</v>
      </c>
      <c r="J846" s="584">
        <v>5.0999999999999996</v>
      </c>
      <c r="K846" s="433">
        <f t="shared" si="65"/>
        <v>0</v>
      </c>
      <c r="L846" s="433">
        <f t="shared" si="66"/>
        <v>0</v>
      </c>
      <c r="M846" s="433">
        <f t="shared" si="67"/>
        <v>0</v>
      </c>
      <c r="N846" s="672"/>
      <c r="O846" s="729">
        <f>IF(N846="",0,N846*K846/'9b-Vloeronderhoud'!$F$4)</f>
        <v>0</v>
      </c>
      <c r="P846" s="672"/>
      <c r="Q846" s="729" t="e">
        <f>IF(O846="",0,P846*L846/'9b-Vloeronderhoud'!$F$6)</f>
        <v>#DIV/0!</v>
      </c>
      <c r="R846" s="449">
        <v>1</v>
      </c>
      <c r="S846" s="672">
        <v>190</v>
      </c>
      <c r="T846" s="161" t="e">
        <f t="shared" si="68"/>
        <v>#DIV/0!</v>
      </c>
      <c r="U846" s="162">
        <f>IF(S846="nio",0,IF(S846&gt;0,VLOOKUP(G846,'3-Productie normen'!A:K,VLOOKUP(S846,'3-Productie normen'!L:N,3,FALSE),FALSE)))</f>
        <v>0</v>
      </c>
      <c r="V846" s="162">
        <f>VLOOKUP(G846,'3-Productie normen'!A:K,10,FALSE)</f>
        <v>726.97999910354622</v>
      </c>
      <c r="W846" s="163">
        <f>VLOOKUP(G846,'3-Productie normen'!A:K,11,FALSE)</f>
        <v>0</v>
      </c>
      <c r="X846" s="163"/>
      <c r="Z846" s="129">
        <f t="shared" si="69"/>
        <v>968.99999999999989</v>
      </c>
    </row>
    <row r="847" spans="1:26" ht="14.1" customHeight="1">
      <c r="A847" s="144">
        <v>885</v>
      </c>
      <c r="B847" s="485" t="s">
        <v>232</v>
      </c>
      <c r="C847" s="160" t="s">
        <v>487</v>
      </c>
      <c r="D847" s="132" t="s">
        <v>98</v>
      </c>
      <c r="E847" s="702" t="s">
        <v>295</v>
      </c>
      <c r="F847" s="160" t="s">
        <v>281</v>
      </c>
      <c r="G847" s="460" t="s">
        <v>881</v>
      </c>
      <c r="H847" s="160" t="s">
        <v>410</v>
      </c>
      <c r="I847" s="582" t="s">
        <v>952</v>
      </c>
      <c r="J847" s="584">
        <v>2.5</v>
      </c>
      <c r="K847" s="433">
        <f t="shared" si="65"/>
        <v>0</v>
      </c>
      <c r="L847" s="433">
        <f t="shared" si="66"/>
        <v>0</v>
      </c>
      <c r="M847" s="433">
        <f t="shared" si="67"/>
        <v>0</v>
      </c>
      <c r="N847" s="672"/>
      <c r="O847" s="729">
        <f>IF(N847="",0,N847*K847/'9b-Vloeronderhoud'!$F$4)</f>
        <v>0</v>
      </c>
      <c r="P847" s="672"/>
      <c r="Q847" s="729" t="e">
        <f>IF(O847="",0,P847*L847/'9b-Vloeronderhoud'!$F$6)</f>
        <v>#DIV/0!</v>
      </c>
      <c r="R847" s="449">
        <v>1</v>
      </c>
      <c r="S847" s="672" t="s">
        <v>179</v>
      </c>
      <c r="T847" s="161">
        <f t="shared" si="68"/>
        <v>0</v>
      </c>
      <c r="U847" s="162">
        <f>IF(S847="nio",0,IF(S847&gt;0,VLOOKUP(G847,'3-Productie normen'!A:K,VLOOKUP(S847,'3-Productie normen'!L:N,3,FALSE),FALSE)))</f>
        <v>0</v>
      </c>
      <c r="V847" s="162">
        <f>VLOOKUP(G847,'3-Productie normen'!A:K,10,FALSE)</f>
        <v>5262.809993648526</v>
      </c>
      <c r="W847" s="163">
        <f>VLOOKUP(G847,'3-Productie normen'!A:K,11,FALSE)</f>
        <v>0</v>
      </c>
      <c r="X847" s="163"/>
      <c r="Z847" s="129">
        <f t="shared" si="69"/>
        <v>0</v>
      </c>
    </row>
    <row r="848" spans="1:26" ht="14.1" customHeight="1">
      <c r="A848" s="144">
        <v>886</v>
      </c>
      <c r="B848" s="485" t="s">
        <v>232</v>
      </c>
      <c r="C848" s="160" t="s">
        <v>487</v>
      </c>
      <c r="D848" s="132" t="s">
        <v>98</v>
      </c>
      <c r="E848" s="702" t="s">
        <v>296</v>
      </c>
      <c r="F848" s="160" t="s">
        <v>346</v>
      </c>
      <c r="G848" s="460" t="s">
        <v>881</v>
      </c>
      <c r="H848" s="504" t="s">
        <v>375</v>
      </c>
      <c r="I848" s="582" t="str">
        <f>VLOOKUP(H848,'9a-Typen vloeren'!$A$10:$B$40,2,FALSE)</f>
        <v>n.v.t.</v>
      </c>
      <c r="J848" s="584">
        <v>4.0999999999999996</v>
      </c>
      <c r="K848" s="433">
        <f t="shared" si="65"/>
        <v>0</v>
      </c>
      <c r="L848" s="433">
        <f t="shared" si="66"/>
        <v>0</v>
      </c>
      <c r="M848" s="433">
        <f t="shared" si="67"/>
        <v>0</v>
      </c>
      <c r="N848" s="672"/>
      <c r="O848" s="729">
        <f>IF(N848="",0,N848*K848/'9b-Vloeronderhoud'!$F$4)</f>
        <v>0</v>
      </c>
      <c r="P848" s="672"/>
      <c r="Q848" s="729" t="e">
        <f>IF(O848="",0,P848*L848/'9b-Vloeronderhoud'!$F$6)</f>
        <v>#DIV/0!</v>
      </c>
      <c r="R848" s="449">
        <v>1</v>
      </c>
      <c r="S848" s="672" t="s">
        <v>179</v>
      </c>
      <c r="T848" s="161">
        <f t="shared" si="68"/>
        <v>0</v>
      </c>
      <c r="U848" s="162">
        <f>IF(S848="nio",0,IF(S848&gt;0,VLOOKUP(G848,'3-Productie normen'!A:K,VLOOKUP(S848,'3-Productie normen'!L:N,3,FALSE),FALSE)))</f>
        <v>0</v>
      </c>
      <c r="V848" s="162">
        <f>VLOOKUP(G848,'3-Productie normen'!A:K,10,FALSE)</f>
        <v>5262.809993648526</v>
      </c>
      <c r="W848" s="163">
        <f>VLOOKUP(G848,'3-Productie normen'!A:K,11,FALSE)</f>
        <v>0</v>
      </c>
      <c r="X848" s="163"/>
      <c r="Z848" s="129">
        <f t="shared" si="69"/>
        <v>0</v>
      </c>
    </row>
    <row r="849" spans="1:26" ht="14.1" customHeight="1">
      <c r="A849" s="144">
        <v>887</v>
      </c>
      <c r="B849" s="485" t="s">
        <v>232</v>
      </c>
      <c r="C849" s="160" t="s">
        <v>487</v>
      </c>
      <c r="D849" s="132" t="s">
        <v>98</v>
      </c>
      <c r="E849" s="712" t="s">
        <v>298</v>
      </c>
      <c r="F849" s="492" t="s">
        <v>288</v>
      </c>
      <c r="G849" s="460" t="s">
        <v>862</v>
      </c>
      <c r="H849" s="126" t="s">
        <v>410</v>
      </c>
      <c r="I849" s="582" t="s">
        <v>952</v>
      </c>
      <c r="J849" s="586">
        <v>219.5</v>
      </c>
      <c r="K849" s="433">
        <f t="shared" si="65"/>
        <v>0</v>
      </c>
      <c r="L849" s="433">
        <f t="shared" si="66"/>
        <v>219.5</v>
      </c>
      <c r="M849" s="433">
        <f t="shared" si="67"/>
        <v>0</v>
      </c>
      <c r="N849" s="672"/>
      <c r="O849" s="729">
        <f>IF(N849="",0,N849*K849/'9b-Vloeronderhoud'!$F$4)</f>
        <v>0</v>
      </c>
      <c r="P849" s="672">
        <v>3</v>
      </c>
      <c r="Q849" s="729" t="e">
        <f>IF(O849="",0,P849*L849/'9b-Vloeronderhoud'!$F$6)</f>
        <v>#DIV/0!</v>
      </c>
      <c r="R849" s="449">
        <v>1</v>
      </c>
      <c r="S849" s="672">
        <v>120</v>
      </c>
      <c r="T849" s="161" t="e">
        <f t="shared" si="68"/>
        <v>#DIV/0!</v>
      </c>
      <c r="U849" s="162">
        <f>IF(S849="nio",0,IF(S849&gt;0,VLOOKUP(G849,'3-Productie normen'!A:K,VLOOKUP(S849,'3-Productie normen'!L:N,3,FALSE),FALSE)))</f>
        <v>0</v>
      </c>
      <c r="V849" s="162">
        <f>VLOOKUP(G849,'3-Productie normen'!A:K,10,FALSE)</f>
        <v>4374.9900215911857</v>
      </c>
      <c r="W849" s="163">
        <f>VLOOKUP(G849,'3-Productie normen'!A:K,11,FALSE)</f>
        <v>0</v>
      </c>
      <c r="X849" s="163"/>
      <c r="Z849" s="129">
        <f t="shared" si="69"/>
        <v>26340</v>
      </c>
    </row>
    <row r="850" spans="1:26" ht="14.1" customHeight="1">
      <c r="A850" s="144">
        <v>888</v>
      </c>
      <c r="B850" s="485" t="s">
        <v>232</v>
      </c>
      <c r="C850" s="160" t="s">
        <v>487</v>
      </c>
      <c r="D850" s="132" t="s">
        <v>98</v>
      </c>
      <c r="E850" s="712" t="s">
        <v>301</v>
      </c>
      <c r="F850" s="492" t="s">
        <v>399</v>
      </c>
      <c r="G850" s="533" t="s">
        <v>191</v>
      </c>
      <c r="H850" s="303" t="s">
        <v>332</v>
      </c>
      <c r="I850" s="582" t="str">
        <f>VLOOKUP(H850,'9a-Typen vloeren'!$A$10:$B$40,2,FALSE)</f>
        <v>Sproei/extraheren</v>
      </c>
      <c r="J850" s="586">
        <v>12.5</v>
      </c>
      <c r="K850" s="433">
        <f t="shared" si="65"/>
        <v>0</v>
      </c>
      <c r="L850" s="433">
        <f t="shared" si="66"/>
        <v>0</v>
      </c>
      <c r="M850" s="433">
        <f t="shared" si="67"/>
        <v>12.5</v>
      </c>
      <c r="N850" s="672"/>
      <c r="O850" s="729">
        <f>IF(N850="",0,N850*K850/'9b-Vloeronderhoud'!$F$4)</f>
        <v>0</v>
      </c>
      <c r="P850" s="672"/>
      <c r="Q850" s="729" t="e">
        <f>IF(O850="",0,P850*L850/'9b-Vloeronderhoud'!$F$6)</f>
        <v>#DIV/0!</v>
      </c>
      <c r="R850" s="449">
        <v>1</v>
      </c>
      <c r="S850" s="675">
        <v>40</v>
      </c>
      <c r="T850" s="161" t="e">
        <f t="shared" si="68"/>
        <v>#DIV/0!</v>
      </c>
      <c r="U850" s="162">
        <f>IF(S850="nio",0,IF(S850&gt;0,VLOOKUP(G850,'3-Productie normen'!A:K,VLOOKUP(S850,'3-Productie normen'!L:N,3,FALSE),FALSE)))</f>
        <v>0</v>
      </c>
      <c r="V850" s="162">
        <f>VLOOKUP(G850,'3-Productie normen'!A:K,10,FALSE)</f>
        <v>314.55999933242794</v>
      </c>
      <c r="W850" s="163">
        <f>VLOOKUP(G850,'3-Productie normen'!A:K,11,FALSE)</f>
        <v>0</v>
      </c>
      <c r="X850" s="163"/>
      <c r="Z850" s="129">
        <f t="shared" si="69"/>
        <v>500</v>
      </c>
    </row>
    <row r="851" spans="1:26" ht="14.1" customHeight="1">
      <c r="A851" s="144">
        <v>889</v>
      </c>
      <c r="B851" s="485" t="s">
        <v>232</v>
      </c>
      <c r="C851" s="160" t="s">
        <v>487</v>
      </c>
      <c r="D851" s="132" t="s">
        <v>98</v>
      </c>
      <c r="E851" s="712" t="s">
        <v>303</v>
      </c>
      <c r="F851" s="492" t="s">
        <v>400</v>
      </c>
      <c r="G851" s="533" t="s">
        <v>189</v>
      </c>
      <c r="H851" s="303" t="s">
        <v>332</v>
      </c>
      <c r="I851" s="582" t="str">
        <f>VLOOKUP(H851,'9a-Typen vloeren'!$A$10:$B$40,2,FALSE)</f>
        <v>Sproei/extraheren</v>
      </c>
      <c r="J851" s="586">
        <v>15.4</v>
      </c>
      <c r="K851" s="433">
        <f t="shared" si="65"/>
        <v>0</v>
      </c>
      <c r="L851" s="433">
        <f t="shared" si="66"/>
        <v>0</v>
      </c>
      <c r="M851" s="433">
        <f t="shared" si="67"/>
        <v>15.4</v>
      </c>
      <c r="N851" s="672"/>
      <c r="O851" s="729">
        <f>IF(N851="",0,N851*K851/'9b-Vloeronderhoud'!$F$4)</f>
        <v>0</v>
      </c>
      <c r="P851" s="672"/>
      <c r="Q851" s="729" t="e">
        <f>IF(O851="",0,P851*L851/'9b-Vloeronderhoud'!$F$6)</f>
        <v>#DIV/0!</v>
      </c>
      <c r="R851" s="449">
        <v>1</v>
      </c>
      <c r="S851" s="675">
        <v>40</v>
      </c>
      <c r="T851" s="161" t="e">
        <f t="shared" si="68"/>
        <v>#DIV/0!</v>
      </c>
      <c r="U851" s="162">
        <f>IF(S851="nio",0,IF(S851&gt;0,VLOOKUP(G851,'3-Productie normen'!A:K,VLOOKUP(S851,'3-Productie normen'!L:N,3,FALSE),FALSE)))</f>
        <v>0</v>
      </c>
      <c r="V851" s="162">
        <f>VLOOKUP(G851,'3-Productie normen'!A:K,10,FALSE)</f>
        <v>1494.1700078582762</v>
      </c>
      <c r="W851" s="163">
        <f>VLOOKUP(G851,'3-Productie normen'!A:K,11,FALSE)</f>
        <v>0</v>
      </c>
      <c r="X851" s="163"/>
      <c r="Z851" s="129">
        <f t="shared" si="69"/>
        <v>616</v>
      </c>
    </row>
    <row r="852" spans="1:26" ht="14.1" customHeight="1">
      <c r="A852" s="144">
        <v>890</v>
      </c>
      <c r="B852" s="485" t="s">
        <v>232</v>
      </c>
      <c r="C852" s="160" t="s">
        <v>487</v>
      </c>
      <c r="D852" s="132" t="s">
        <v>98</v>
      </c>
      <c r="E852" s="712" t="s">
        <v>305</v>
      </c>
      <c r="F852" s="492" t="s">
        <v>556</v>
      </c>
      <c r="G852" s="533" t="s">
        <v>299</v>
      </c>
      <c r="H852" s="303" t="s">
        <v>332</v>
      </c>
      <c r="I852" s="582" t="str">
        <f>VLOOKUP(H852,'9a-Typen vloeren'!$A$10:$B$40,2,FALSE)</f>
        <v>Sproei/extraheren</v>
      </c>
      <c r="J852" s="586">
        <v>27.6</v>
      </c>
      <c r="K852" s="433">
        <f t="shared" si="65"/>
        <v>0</v>
      </c>
      <c r="L852" s="433">
        <f t="shared" si="66"/>
        <v>0</v>
      </c>
      <c r="M852" s="433">
        <f t="shared" si="67"/>
        <v>27.6</v>
      </c>
      <c r="N852" s="672"/>
      <c r="O852" s="729">
        <f>IF(N852="",0,N852*K852/'9b-Vloeronderhoud'!$F$4)</f>
        <v>0</v>
      </c>
      <c r="P852" s="672"/>
      <c r="Q852" s="729" t="e">
        <f>IF(O852="",0,P852*L852/'9b-Vloeronderhoud'!$F$6)</f>
        <v>#DIV/0!</v>
      </c>
      <c r="R852" s="449">
        <v>1</v>
      </c>
      <c r="S852" s="672">
        <v>40</v>
      </c>
      <c r="T852" s="161" t="e">
        <f t="shared" si="68"/>
        <v>#DIV/0!</v>
      </c>
      <c r="U852" s="162">
        <f>IF(S852="nio",0,IF(S852&gt;0,VLOOKUP(G852,'3-Productie normen'!A:K,VLOOKUP(S852,'3-Productie normen'!L:N,3,FALSE),FALSE)))</f>
        <v>0</v>
      </c>
      <c r="V852" s="162">
        <f>VLOOKUP(G852,'3-Productie normen'!A:K,10,FALSE)</f>
        <v>1107.9100014114381</v>
      </c>
      <c r="W852" s="163">
        <f>VLOOKUP(G852,'3-Productie normen'!A:K,11,FALSE)</f>
        <v>0</v>
      </c>
      <c r="X852" s="163"/>
      <c r="Z852" s="129">
        <f t="shared" si="69"/>
        <v>1104</v>
      </c>
    </row>
    <row r="853" spans="1:26" ht="14.1" customHeight="1">
      <c r="A853" s="144">
        <v>891</v>
      </c>
      <c r="B853" s="485" t="s">
        <v>232</v>
      </c>
      <c r="C853" s="160" t="s">
        <v>487</v>
      </c>
      <c r="D853" s="132" t="s">
        <v>98</v>
      </c>
      <c r="E853" s="712" t="s">
        <v>306</v>
      </c>
      <c r="F853" s="492" t="s">
        <v>401</v>
      </c>
      <c r="G853" s="122" t="s">
        <v>221</v>
      </c>
      <c r="H853" s="303" t="s">
        <v>332</v>
      </c>
      <c r="I853" s="582" t="str">
        <f>VLOOKUP(H853,'9a-Typen vloeren'!$A$10:$B$40,2,FALSE)</f>
        <v>Sproei/extraheren</v>
      </c>
      <c r="J853" s="586">
        <v>57.2</v>
      </c>
      <c r="K853" s="433">
        <f t="shared" si="65"/>
        <v>0</v>
      </c>
      <c r="L853" s="433">
        <f t="shared" si="66"/>
        <v>0</v>
      </c>
      <c r="M853" s="433">
        <f t="shared" si="67"/>
        <v>57.2</v>
      </c>
      <c r="N853" s="672"/>
      <c r="O853" s="729">
        <f>IF(N853="",0,N853*K853/'9b-Vloeronderhoud'!$F$4)</f>
        <v>0</v>
      </c>
      <c r="P853" s="672"/>
      <c r="Q853" s="729" t="e">
        <f>IF(O853="",0,P853*L853/'9b-Vloeronderhoud'!$F$6)</f>
        <v>#DIV/0!</v>
      </c>
      <c r="R853" s="449">
        <v>1</v>
      </c>
      <c r="S853" s="688" t="s">
        <v>179</v>
      </c>
      <c r="T853" s="161">
        <f t="shared" si="68"/>
        <v>0</v>
      </c>
      <c r="U853" s="162">
        <f>IF(S853="nio",0,IF(S853&gt;0,VLOOKUP(G853,'3-Productie normen'!A:K,VLOOKUP(S853,'3-Productie normen'!L:N,3,FALSE),FALSE)))</f>
        <v>0</v>
      </c>
      <c r="V853" s="162">
        <f>VLOOKUP(G853,'3-Productie normen'!A:K,10,FALSE)</f>
        <v>16013.110036668773</v>
      </c>
      <c r="W853" s="163">
        <f>VLOOKUP(G853,'3-Productie normen'!A:K,11,FALSE)</f>
        <v>0</v>
      </c>
      <c r="X853" s="163"/>
      <c r="Z853" s="129">
        <f t="shared" si="69"/>
        <v>0</v>
      </c>
    </row>
    <row r="854" spans="1:26" ht="14.1" customHeight="1">
      <c r="A854" s="144">
        <v>892</v>
      </c>
      <c r="B854" s="485" t="s">
        <v>232</v>
      </c>
      <c r="C854" s="160" t="s">
        <v>487</v>
      </c>
      <c r="D854" s="132" t="s">
        <v>98</v>
      </c>
      <c r="E854" s="712" t="s">
        <v>307</v>
      </c>
      <c r="F854" s="492" t="s">
        <v>401</v>
      </c>
      <c r="G854" s="303" t="s">
        <v>221</v>
      </c>
      <c r="H854" s="303" t="s">
        <v>332</v>
      </c>
      <c r="I854" s="582" t="str">
        <f>VLOOKUP(H854,'9a-Typen vloeren'!$A$10:$B$40,2,FALSE)</f>
        <v>Sproei/extraheren</v>
      </c>
      <c r="J854" s="586">
        <v>57.2</v>
      </c>
      <c r="K854" s="433">
        <f t="shared" si="65"/>
        <v>0</v>
      </c>
      <c r="L854" s="433">
        <f t="shared" si="66"/>
        <v>0</v>
      </c>
      <c r="M854" s="433">
        <f t="shared" si="67"/>
        <v>57.2</v>
      </c>
      <c r="N854" s="672"/>
      <c r="O854" s="729">
        <f>IF(N854="",0,N854*K854/'9b-Vloeronderhoud'!$F$4)</f>
        <v>0</v>
      </c>
      <c r="P854" s="672"/>
      <c r="Q854" s="729" t="e">
        <f>IF(O854="",0,P854*L854/'9b-Vloeronderhoud'!$F$6)</f>
        <v>#DIV/0!</v>
      </c>
      <c r="R854" s="449">
        <v>1</v>
      </c>
      <c r="S854" s="688" t="s">
        <v>179</v>
      </c>
      <c r="T854" s="161">
        <f t="shared" si="68"/>
        <v>0</v>
      </c>
      <c r="U854" s="162">
        <f>IF(S854="nio",0,IF(S854&gt;0,VLOOKUP(G854,'3-Productie normen'!A:K,VLOOKUP(S854,'3-Productie normen'!L:N,3,FALSE),FALSE)))</f>
        <v>0</v>
      </c>
      <c r="V854" s="162">
        <f>VLOOKUP(G854,'3-Productie normen'!A:K,10,FALSE)</f>
        <v>16013.110036668773</v>
      </c>
      <c r="W854" s="163">
        <f>VLOOKUP(G854,'3-Productie normen'!A:K,11,FALSE)</f>
        <v>0</v>
      </c>
      <c r="X854" s="163"/>
      <c r="Z854" s="129">
        <f t="shared" si="69"/>
        <v>0</v>
      </c>
    </row>
    <row r="855" spans="1:26" ht="14.1" customHeight="1">
      <c r="A855" s="144">
        <v>893</v>
      </c>
      <c r="B855" s="485" t="s">
        <v>232</v>
      </c>
      <c r="C855" s="160" t="s">
        <v>487</v>
      </c>
      <c r="D855" s="132" t="s">
        <v>98</v>
      </c>
      <c r="E855" s="712" t="s">
        <v>309</v>
      </c>
      <c r="F855" s="492" t="s">
        <v>402</v>
      </c>
      <c r="G855" s="460" t="s">
        <v>18</v>
      </c>
      <c r="H855" s="303" t="s">
        <v>967</v>
      </c>
      <c r="I855" s="582" t="str">
        <f>VLOOKUP(H855,'9a-Typen vloeren'!$A$10:$B$40,2,FALSE)</f>
        <v>zie kwaliteitsontwerp</v>
      </c>
      <c r="J855" s="586">
        <v>11.1</v>
      </c>
      <c r="K855" s="433">
        <f t="shared" si="65"/>
        <v>0</v>
      </c>
      <c r="L855" s="433">
        <f t="shared" si="66"/>
        <v>0</v>
      </c>
      <c r="M855" s="433">
        <f t="shared" si="67"/>
        <v>0</v>
      </c>
      <c r="N855" s="672"/>
      <c r="O855" s="729">
        <f>IF(N855="",0,N855*K855/'9b-Vloeronderhoud'!$F$4)</f>
        <v>0</v>
      </c>
      <c r="P855" s="672"/>
      <c r="Q855" s="729" t="e">
        <f>IF(O855="",0,P855*L855/'9b-Vloeronderhoud'!$F$6)</f>
        <v>#DIV/0!</v>
      </c>
      <c r="R855" s="449">
        <v>1</v>
      </c>
      <c r="S855" s="672">
        <v>190</v>
      </c>
      <c r="T855" s="161" t="e">
        <f t="shared" si="68"/>
        <v>#DIV/0!</v>
      </c>
      <c r="U855" s="162">
        <f>IF(S855="nio",0,IF(S855&gt;0,VLOOKUP(G855,'3-Productie normen'!A:K,VLOOKUP(S855,'3-Productie normen'!L:N,3,FALSE),FALSE)))</f>
        <v>0</v>
      </c>
      <c r="V855" s="162">
        <f>VLOOKUP(G855,'3-Productie normen'!A:K,10,FALSE)</f>
        <v>1859.5880019121171</v>
      </c>
      <c r="W855" s="163">
        <f>VLOOKUP(G855,'3-Productie normen'!A:K,11,FALSE)</f>
        <v>0</v>
      </c>
      <c r="X855" s="163"/>
      <c r="Z855" s="129">
        <f t="shared" si="69"/>
        <v>2109</v>
      </c>
    </row>
    <row r="856" spans="1:26" ht="14.1" customHeight="1">
      <c r="A856" s="144">
        <v>894</v>
      </c>
      <c r="B856" s="485" t="s">
        <v>232</v>
      </c>
      <c r="C856" s="160" t="s">
        <v>487</v>
      </c>
      <c r="D856" s="132" t="s">
        <v>98</v>
      </c>
      <c r="E856" s="712" t="s">
        <v>311</v>
      </c>
      <c r="F856" s="492" t="s">
        <v>402</v>
      </c>
      <c r="G856" s="303" t="s">
        <v>18</v>
      </c>
      <c r="H856" s="303" t="s">
        <v>967</v>
      </c>
      <c r="I856" s="582" t="str">
        <f>VLOOKUP(H856,'9a-Typen vloeren'!$A$10:$B$40,2,FALSE)</f>
        <v>zie kwaliteitsontwerp</v>
      </c>
      <c r="J856" s="586">
        <v>11.1</v>
      </c>
      <c r="K856" s="433">
        <f t="shared" si="65"/>
        <v>0</v>
      </c>
      <c r="L856" s="433">
        <f t="shared" si="66"/>
        <v>0</v>
      </c>
      <c r="M856" s="433">
        <f t="shared" si="67"/>
        <v>0</v>
      </c>
      <c r="N856" s="672"/>
      <c r="O856" s="729">
        <f>IF(N856="",0,N856*K856/'9b-Vloeronderhoud'!$F$4)</f>
        <v>0</v>
      </c>
      <c r="P856" s="672"/>
      <c r="Q856" s="729" t="e">
        <f>IF(O856="",0,P856*L856/'9b-Vloeronderhoud'!$F$6)</f>
        <v>#DIV/0!</v>
      </c>
      <c r="R856" s="449">
        <v>1</v>
      </c>
      <c r="S856" s="672">
        <v>190</v>
      </c>
      <c r="T856" s="161" t="e">
        <f t="shared" si="68"/>
        <v>#DIV/0!</v>
      </c>
      <c r="U856" s="162">
        <f>IF(S856="nio",0,IF(S856&gt;0,VLOOKUP(G856,'3-Productie normen'!A:K,VLOOKUP(S856,'3-Productie normen'!L:N,3,FALSE),FALSE)))</f>
        <v>0</v>
      </c>
      <c r="V856" s="162">
        <f>VLOOKUP(G856,'3-Productie normen'!A:K,10,FALSE)</f>
        <v>1859.5880019121171</v>
      </c>
      <c r="W856" s="163">
        <f>VLOOKUP(G856,'3-Productie normen'!A:K,11,FALSE)</f>
        <v>0</v>
      </c>
      <c r="X856" s="163"/>
      <c r="Z856" s="129">
        <f t="shared" si="69"/>
        <v>2109</v>
      </c>
    </row>
    <row r="857" spans="1:26" ht="14.1" customHeight="1">
      <c r="A857" s="144">
        <v>895</v>
      </c>
      <c r="B857" s="485" t="s">
        <v>232</v>
      </c>
      <c r="C857" s="160" t="s">
        <v>487</v>
      </c>
      <c r="D857" s="132" t="s">
        <v>98</v>
      </c>
      <c r="E857" s="712" t="s">
        <v>312</v>
      </c>
      <c r="F857" s="492" t="s">
        <v>99</v>
      </c>
      <c r="G857" s="460" t="s">
        <v>99</v>
      </c>
      <c r="H857" s="555" t="s">
        <v>409</v>
      </c>
      <c r="I857" s="582" t="str">
        <f>VLOOKUP(H857,'9a-Typen vloeren'!$A$10:$B$40,2,FALSE)</f>
        <v>n.v.t.</v>
      </c>
      <c r="J857" s="586">
        <v>5.0999999999999996</v>
      </c>
      <c r="K857" s="433">
        <f t="shared" si="65"/>
        <v>0</v>
      </c>
      <c r="L857" s="433">
        <f t="shared" si="66"/>
        <v>0</v>
      </c>
      <c r="M857" s="433">
        <f t="shared" si="67"/>
        <v>0</v>
      </c>
      <c r="N857" s="672"/>
      <c r="O857" s="729">
        <f>IF(N857="",0,N857*K857/'9b-Vloeronderhoud'!$F$4)</f>
        <v>0</v>
      </c>
      <c r="P857" s="672"/>
      <c r="Q857" s="729" t="e">
        <f>IF(O857="",0,P857*L857/'9b-Vloeronderhoud'!$F$6)</f>
        <v>#DIV/0!</v>
      </c>
      <c r="R857" s="449">
        <v>1</v>
      </c>
      <c r="S857" s="672">
        <v>190</v>
      </c>
      <c r="T857" s="161" t="e">
        <f t="shared" si="68"/>
        <v>#DIV/0!</v>
      </c>
      <c r="U857" s="162">
        <f>IF(S857="nio",0,IF(S857&gt;0,VLOOKUP(G857,'3-Productie normen'!A:K,VLOOKUP(S857,'3-Productie normen'!L:N,3,FALSE),FALSE)))</f>
        <v>0</v>
      </c>
      <c r="V857" s="162">
        <f>VLOOKUP(G857,'3-Productie normen'!A:K,10,FALSE)</f>
        <v>726.97999910354622</v>
      </c>
      <c r="W857" s="163">
        <f>VLOOKUP(G857,'3-Productie normen'!A:K,11,FALSE)</f>
        <v>0</v>
      </c>
      <c r="X857" s="163"/>
      <c r="Z857" s="129">
        <f t="shared" si="69"/>
        <v>968.99999999999989</v>
      </c>
    </row>
    <row r="858" spans="1:26" ht="14.1" customHeight="1">
      <c r="A858" s="144">
        <v>896</v>
      </c>
      <c r="B858" s="485" t="s">
        <v>232</v>
      </c>
      <c r="C858" s="160" t="s">
        <v>487</v>
      </c>
      <c r="D858" s="132" t="s">
        <v>98</v>
      </c>
      <c r="E858" s="712" t="s">
        <v>314</v>
      </c>
      <c r="F858" s="492" t="s">
        <v>401</v>
      </c>
      <c r="G858" s="546" t="s">
        <v>221</v>
      </c>
      <c r="H858" s="303" t="s">
        <v>332</v>
      </c>
      <c r="I858" s="582" t="str">
        <f>VLOOKUP(H858,'9a-Typen vloeren'!$A$10:$B$40,2,FALSE)</f>
        <v>Sproei/extraheren</v>
      </c>
      <c r="J858" s="586">
        <v>57</v>
      </c>
      <c r="K858" s="433">
        <f t="shared" si="65"/>
        <v>0</v>
      </c>
      <c r="L858" s="433">
        <f t="shared" si="66"/>
        <v>0</v>
      </c>
      <c r="M858" s="433">
        <f t="shared" si="67"/>
        <v>57</v>
      </c>
      <c r="N858" s="672"/>
      <c r="O858" s="729">
        <f>IF(N858="",0,N858*K858/'9b-Vloeronderhoud'!$F$4)</f>
        <v>0</v>
      </c>
      <c r="P858" s="672"/>
      <c r="Q858" s="729" t="e">
        <f>IF(O858="",0,P858*L858/'9b-Vloeronderhoud'!$F$6)</f>
        <v>#DIV/0!</v>
      </c>
      <c r="R858" s="449">
        <v>1</v>
      </c>
      <c r="S858" s="672">
        <v>80</v>
      </c>
      <c r="T858" s="161" t="e">
        <f t="shared" si="68"/>
        <v>#DIV/0!</v>
      </c>
      <c r="U858" s="162">
        <f>IF(S858="nio",0,IF(S858&gt;0,VLOOKUP(G858,'3-Productie normen'!A:K,VLOOKUP(S858,'3-Productie normen'!L:N,3,FALSE),FALSE)))</f>
        <v>0</v>
      </c>
      <c r="V858" s="162">
        <f>VLOOKUP(G858,'3-Productie normen'!A:K,10,FALSE)</f>
        <v>16013.110036668773</v>
      </c>
      <c r="W858" s="163">
        <f>VLOOKUP(G858,'3-Productie normen'!A:K,11,FALSE)</f>
        <v>0</v>
      </c>
      <c r="X858" s="163"/>
      <c r="Z858" s="129">
        <f t="shared" si="69"/>
        <v>4560</v>
      </c>
    </row>
    <row r="859" spans="1:26" ht="14.1" customHeight="1">
      <c r="A859" s="144">
        <v>897</v>
      </c>
      <c r="B859" s="485" t="s">
        <v>232</v>
      </c>
      <c r="C859" s="160" t="s">
        <v>487</v>
      </c>
      <c r="D859" s="132" t="s">
        <v>98</v>
      </c>
      <c r="E859" s="712" t="s">
        <v>315</v>
      </c>
      <c r="F859" s="492" t="s">
        <v>401</v>
      </c>
      <c r="G859" s="303" t="s">
        <v>221</v>
      </c>
      <c r="H859" s="303" t="s">
        <v>332</v>
      </c>
      <c r="I859" s="582" t="str">
        <f>VLOOKUP(H859,'9a-Typen vloeren'!$A$10:$B$40,2,FALSE)</f>
        <v>Sproei/extraheren</v>
      </c>
      <c r="J859" s="586">
        <v>56.8</v>
      </c>
      <c r="K859" s="433">
        <f t="shared" si="65"/>
        <v>0</v>
      </c>
      <c r="L859" s="433">
        <f t="shared" si="66"/>
        <v>0</v>
      </c>
      <c r="M859" s="433">
        <f t="shared" si="67"/>
        <v>56.8</v>
      </c>
      <c r="N859" s="672"/>
      <c r="O859" s="729">
        <f>IF(N859="",0,N859*K859/'9b-Vloeronderhoud'!$F$4)</f>
        <v>0</v>
      </c>
      <c r="P859" s="672"/>
      <c r="Q859" s="729" t="e">
        <f>IF(O859="",0,P859*L859/'9b-Vloeronderhoud'!$F$6)</f>
        <v>#DIV/0!</v>
      </c>
      <c r="R859" s="449">
        <v>1</v>
      </c>
      <c r="S859" s="672">
        <v>80</v>
      </c>
      <c r="T859" s="161" t="e">
        <f t="shared" si="68"/>
        <v>#DIV/0!</v>
      </c>
      <c r="U859" s="162">
        <f>IF(S859="nio",0,IF(S859&gt;0,VLOOKUP(G859,'3-Productie normen'!A:K,VLOOKUP(S859,'3-Productie normen'!L:N,3,FALSE),FALSE)))</f>
        <v>0</v>
      </c>
      <c r="V859" s="162">
        <f>VLOOKUP(G859,'3-Productie normen'!A:K,10,FALSE)</f>
        <v>16013.110036668773</v>
      </c>
      <c r="W859" s="163">
        <f>VLOOKUP(G859,'3-Productie normen'!A:K,11,FALSE)</f>
        <v>0</v>
      </c>
      <c r="X859" s="163"/>
      <c r="Z859" s="129">
        <f t="shared" si="69"/>
        <v>4544</v>
      </c>
    </row>
    <row r="860" spans="1:26" ht="14.1" customHeight="1">
      <c r="A860" s="144">
        <v>898</v>
      </c>
      <c r="B860" s="485" t="s">
        <v>232</v>
      </c>
      <c r="C860" s="160" t="s">
        <v>487</v>
      </c>
      <c r="D860" s="132" t="s">
        <v>98</v>
      </c>
      <c r="E860" s="712" t="s">
        <v>317</v>
      </c>
      <c r="F860" s="492" t="s">
        <v>401</v>
      </c>
      <c r="G860" s="303" t="s">
        <v>221</v>
      </c>
      <c r="H860" s="303" t="s">
        <v>332</v>
      </c>
      <c r="I860" s="582" t="str">
        <f>VLOOKUP(H860,'9a-Typen vloeren'!$A$10:$B$40,2,FALSE)</f>
        <v>Sproei/extraheren</v>
      </c>
      <c r="J860" s="586">
        <v>64.400000000000006</v>
      </c>
      <c r="K860" s="433">
        <f t="shared" si="65"/>
        <v>0</v>
      </c>
      <c r="L860" s="433">
        <f t="shared" si="66"/>
        <v>0</v>
      </c>
      <c r="M860" s="433">
        <f t="shared" si="67"/>
        <v>64.400000000000006</v>
      </c>
      <c r="N860" s="672"/>
      <c r="O860" s="729">
        <f>IF(N860="",0,N860*K860/'9b-Vloeronderhoud'!$F$4)</f>
        <v>0</v>
      </c>
      <c r="P860" s="672"/>
      <c r="Q860" s="729" t="e">
        <f>IF(O860="",0,P860*L860/'9b-Vloeronderhoud'!$F$6)</f>
        <v>#DIV/0!</v>
      </c>
      <c r="R860" s="449">
        <v>1</v>
      </c>
      <c r="S860" s="672">
        <v>80</v>
      </c>
      <c r="T860" s="161" t="e">
        <f t="shared" si="68"/>
        <v>#DIV/0!</v>
      </c>
      <c r="U860" s="162">
        <f>IF(S860="nio",0,IF(S860&gt;0,VLOOKUP(G860,'3-Productie normen'!A:K,VLOOKUP(S860,'3-Productie normen'!L:N,3,FALSE),FALSE)))</f>
        <v>0</v>
      </c>
      <c r="V860" s="162">
        <f>VLOOKUP(G860,'3-Productie normen'!A:K,10,FALSE)</f>
        <v>16013.110036668773</v>
      </c>
      <c r="W860" s="163">
        <f>VLOOKUP(G860,'3-Productie normen'!A:K,11,FALSE)</f>
        <v>0</v>
      </c>
      <c r="X860" s="163"/>
      <c r="Z860" s="129">
        <f t="shared" si="69"/>
        <v>5152</v>
      </c>
    </row>
    <row r="861" spans="1:26" ht="14.1" customHeight="1">
      <c r="A861" s="144">
        <v>899</v>
      </c>
      <c r="B861" s="485" t="s">
        <v>232</v>
      </c>
      <c r="C861" s="160" t="s">
        <v>487</v>
      </c>
      <c r="D861" s="132" t="s">
        <v>98</v>
      </c>
      <c r="E861" s="712" t="s">
        <v>318</v>
      </c>
      <c r="F861" s="492" t="s">
        <v>282</v>
      </c>
      <c r="G861" s="460" t="s">
        <v>881</v>
      </c>
      <c r="H861" s="504" t="s">
        <v>375</v>
      </c>
      <c r="I861" s="582" t="str">
        <f>VLOOKUP(H861,'9a-Typen vloeren'!$A$10:$B$40,2,FALSE)</f>
        <v>n.v.t.</v>
      </c>
      <c r="J861" s="586">
        <v>7.3</v>
      </c>
      <c r="K861" s="433">
        <f t="shared" si="65"/>
        <v>0</v>
      </c>
      <c r="L861" s="433">
        <f t="shared" si="66"/>
        <v>0</v>
      </c>
      <c r="M861" s="433">
        <f t="shared" si="67"/>
        <v>0</v>
      </c>
      <c r="N861" s="672"/>
      <c r="O861" s="729">
        <f>IF(N861="",0,N861*K861/'9b-Vloeronderhoud'!$F$4)</f>
        <v>0</v>
      </c>
      <c r="P861" s="672"/>
      <c r="Q861" s="729" t="e">
        <f>IF(O861="",0,P861*L861/'9b-Vloeronderhoud'!$F$6)</f>
        <v>#DIV/0!</v>
      </c>
      <c r="R861" s="449">
        <v>1</v>
      </c>
      <c r="S861" s="672" t="s">
        <v>179</v>
      </c>
      <c r="T861" s="161">
        <f t="shared" si="68"/>
        <v>0</v>
      </c>
      <c r="U861" s="162">
        <f>IF(S861="nio",0,IF(S861&gt;0,VLOOKUP(G861,'3-Productie normen'!A:K,VLOOKUP(S861,'3-Productie normen'!L:N,3,FALSE),FALSE)))</f>
        <v>0</v>
      </c>
      <c r="V861" s="162">
        <f>VLOOKUP(G861,'3-Productie normen'!A:K,10,FALSE)</f>
        <v>5262.809993648526</v>
      </c>
      <c r="W861" s="163">
        <f>VLOOKUP(G861,'3-Productie normen'!A:K,11,FALSE)</f>
        <v>0</v>
      </c>
      <c r="X861" s="163"/>
      <c r="Z861" s="129">
        <f t="shared" si="69"/>
        <v>0</v>
      </c>
    </row>
    <row r="862" spans="1:26" ht="14.1" customHeight="1">
      <c r="A862" s="144">
        <v>900</v>
      </c>
      <c r="B862" s="485" t="s">
        <v>232</v>
      </c>
      <c r="C862" s="160" t="s">
        <v>487</v>
      </c>
      <c r="D862" s="132" t="s">
        <v>98</v>
      </c>
      <c r="E862" s="712" t="s">
        <v>319</v>
      </c>
      <c r="F862" s="492" t="s">
        <v>402</v>
      </c>
      <c r="G862" s="303" t="s">
        <v>18</v>
      </c>
      <c r="H862" s="303" t="s">
        <v>967</v>
      </c>
      <c r="I862" s="582" t="str">
        <f>VLOOKUP(H862,'9a-Typen vloeren'!$A$10:$B$40,2,FALSE)</f>
        <v>zie kwaliteitsontwerp</v>
      </c>
      <c r="J862" s="586">
        <v>6</v>
      </c>
      <c r="K862" s="433">
        <f t="shared" si="65"/>
        <v>0</v>
      </c>
      <c r="L862" s="433">
        <f t="shared" si="66"/>
        <v>0</v>
      </c>
      <c r="M862" s="433">
        <f t="shared" si="67"/>
        <v>0</v>
      </c>
      <c r="N862" s="672"/>
      <c r="O862" s="729">
        <f>IF(N862="",0,N862*K862/'9b-Vloeronderhoud'!$F$4)</f>
        <v>0</v>
      </c>
      <c r="P862" s="672"/>
      <c r="Q862" s="729" t="e">
        <f>IF(O862="",0,P862*L862/'9b-Vloeronderhoud'!$F$6)</f>
        <v>#DIV/0!</v>
      </c>
      <c r="R862" s="449">
        <v>1</v>
      </c>
      <c r="S862" s="672">
        <v>190</v>
      </c>
      <c r="T862" s="161" t="e">
        <f t="shared" si="68"/>
        <v>#DIV/0!</v>
      </c>
      <c r="U862" s="162">
        <f>IF(S862="nio",0,IF(S862&gt;0,VLOOKUP(G862,'3-Productie normen'!A:K,VLOOKUP(S862,'3-Productie normen'!L:N,3,FALSE),FALSE)))</f>
        <v>0</v>
      </c>
      <c r="V862" s="162">
        <f>VLOOKUP(G862,'3-Productie normen'!A:K,10,FALSE)</f>
        <v>1859.5880019121171</v>
      </c>
      <c r="W862" s="163">
        <f>VLOOKUP(G862,'3-Productie normen'!A:K,11,FALSE)</f>
        <v>0</v>
      </c>
      <c r="X862" s="163"/>
      <c r="Z862" s="129">
        <f t="shared" si="69"/>
        <v>1140</v>
      </c>
    </row>
    <row r="863" spans="1:26" ht="14.1" customHeight="1">
      <c r="A863" s="144">
        <v>901</v>
      </c>
      <c r="B863" s="485" t="s">
        <v>232</v>
      </c>
      <c r="C863" s="160" t="s">
        <v>487</v>
      </c>
      <c r="D863" s="132" t="s">
        <v>98</v>
      </c>
      <c r="E863" s="712" t="s">
        <v>403</v>
      </c>
      <c r="F863" s="492" t="s">
        <v>282</v>
      </c>
      <c r="G863" s="460" t="s">
        <v>881</v>
      </c>
      <c r="H863" s="504" t="s">
        <v>375</v>
      </c>
      <c r="I863" s="582" t="str">
        <f>VLOOKUP(H863,'9a-Typen vloeren'!$A$10:$B$40,2,FALSE)</f>
        <v>n.v.t.</v>
      </c>
      <c r="J863" s="586">
        <v>10.8</v>
      </c>
      <c r="K863" s="433">
        <f t="shared" si="65"/>
        <v>0</v>
      </c>
      <c r="L863" s="433">
        <f t="shared" si="66"/>
        <v>0</v>
      </c>
      <c r="M863" s="433">
        <f t="shared" si="67"/>
        <v>0</v>
      </c>
      <c r="N863" s="672"/>
      <c r="O863" s="729">
        <f>IF(N863="",0,N863*K863/'9b-Vloeronderhoud'!$F$4)</f>
        <v>0</v>
      </c>
      <c r="P863" s="672"/>
      <c r="Q863" s="729" t="e">
        <f>IF(O863="",0,P863*L863/'9b-Vloeronderhoud'!$F$6)</f>
        <v>#DIV/0!</v>
      </c>
      <c r="R863" s="449">
        <v>1</v>
      </c>
      <c r="S863" s="672" t="s">
        <v>179</v>
      </c>
      <c r="T863" s="161">
        <f t="shared" si="68"/>
        <v>0</v>
      </c>
      <c r="U863" s="162">
        <f>IF(S863="nio",0,IF(S863&gt;0,VLOOKUP(G863,'3-Productie normen'!A:K,VLOOKUP(S863,'3-Productie normen'!L:N,3,FALSE),FALSE)))</f>
        <v>0</v>
      </c>
      <c r="V863" s="162">
        <f>VLOOKUP(G863,'3-Productie normen'!A:K,10,FALSE)</f>
        <v>5262.809993648526</v>
      </c>
      <c r="W863" s="163">
        <f>VLOOKUP(G863,'3-Productie normen'!A:K,11,FALSE)</f>
        <v>0</v>
      </c>
      <c r="X863" s="163"/>
      <c r="Z863" s="129">
        <f t="shared" si="69"/>
        <v>0</v>
      </c>
    </row>
    <row r="864" spans="1:26" ht="14.1" customHeight="1">
      <c r="A864" s="144">
        <v>902</v>
      </c>
      <c r="B864" s="485" t="s">
        <v>232</v>
      </c>
      <c r="C864" s="160" t="s">
        <v>487</v>
      </c>
      <c r="D864" s="132" t="s">
        <v>98</v>
      </c>
      <c r="E864" s="712" t="s">
        <v>323</v>
      </c>
      <c r="F864" s="492" t="s">
        <v>347</v>
      </c>
      <c r="G864" s="502" t="s">
        <v>347</v>
      </c>
      <c r="H864" s="555" t="s">
        <v>411</v>
      </c>
      <c r="I864" s="582" t="str">
        <f>VLOOKUP(H864,'9a-Typen vloeren'!$A$10:$B$40,2,FALSE)</f>
        <v>Schrobben</v>
      </c>
      <c r="J864" s="586">
        <v>84</v>
      </c>
      <c r="K864" s="433">
        <f t="shared" si="65"/>
        <v>0</v>
      </c>
      <c r="L864" s="433">
        <f t="shared" si="66"/>
        <v>84</v>
      </c>
      <c r="M864" s="433">
        <f t="shared" si="67"/>
        <v>0</v>
      </c>
      <c r="N864" s="672"/>
      <c r="O864" s="729">
        <f>IF(N864="",0,N864*K864/'9b-Vloeronderhoud'!$F$4)</f>
        <v>0</v>
      </c>
      <c r="P864" s="672">
        <v>3</v>
      </c>
      <c r="Q864" s="729" t="e">
        <f>IF(O864="",0,P864*L864/'9b-Vloeronderhoud'!$F$6)</f>
        <v>#DIV/0!</v>
      </c>
      <c r="R864" s="449">
        <v>1</v>
      </c>
      <c r="S864" s="672">
        <v>44</v>
      </c>
      <c r="T864" s="161" t="e">
        <f t="shared" si="68"/>
        <v>#DIV/0!</v>
      </c>
      <c r="U864" s="162">
        <f>IF(S864="nio",0,IF(S864&gt;0,VLOOKUP(G864,'3-Productie normen'!A:K,VLOOKUP(S864,'3-Productie normen'!L:N,3,FALSE),FALSE)))</f>
        <v>0</v>
      </c>
      <c r="V864" s="162">
        <f>VLOOKUP(G864,'3-Productie normen'!A:K,10,FALSE)</f>
        <v>1134.6299961853026</v>
      </c>
      <c r="W864" s="163">
        <f>VLOOKUP(G864,'3-Productie normen'!A:K,11,FALSE)</f>
        <v>0</v>
      </c>
      <c r="X864" s="163"/>
      <c r="Z864" s="129">
        <f t="shared" si="69"/>
        <v>3696</v>
      </c>
    </row>
    <row r="865" spans="1:26" ht="14.1" customHeight="1">
      <c r="A865" s="144">
        <v>903</v>
      </c>
      <c r="B865" s="485" t="s">
        <v>232</v>
      </c>
      <c r="C865" s="160" t="s">
        <v>487</v>
      </c>
      <c r="D865" s="132" t="s">
        <v>98</v>
      </c>
      <c r="E865" s="712" t="s">
        <v>325</v>
      </c>
      <c r="F865" s="492" t="s">
        <v>404</v>
      </c>
      <c r="G865" s="460" t="s">
        <v>286</v>
      </c>
      <c r="H865" s="555" t="s">
        <v>410</v>
      </c>
      <c r="I865" s="582" t="s">
        <v>952</v>
      </c>
      <c r="J865" s="586">
        <v>40.700000000000003</v>
      </c>
      <c r="K865" s="433">
        <f t="shared" si="65"/>
        <v>0</v>
      </c>
      <c r="L865" s="433">
        <f t="shared" si="66"/>
        <v>40.700000000000003</v>
      </c>
      <c r="M865" s="433">
        <f t="shared" si="67"/>
        <v>0</v>
      </c>
      <c r="N865" s="672"/>
      <c r="O865" s="729">
        <f>IF(N865="",0,N865*K865/'9b-Vloeronderhoud'!$F$4)</f>
        <v>0</v>
      </c>
      <c r="P865" s="672">
        <v>3</v>
      </c>
      <c r="Q865" s="729" t="e">
        <f>IF(O865="",0,P865*L865/'9b-Vloeronderhoud'!$F$6)</f>
        <v>#DIV/0!</v>
      </c>
      <c r="R865" s="449">
        <v>1</v>
      </c>
      <c r="S865" s="672">
        <v>120</v>
      </c>
      <c r="T865" s="161" t="e">
        <f t="shared" si="68"/>
        <v>#DIV/0!</v>
      </c>
      <c r="U865" s="162">
        <f>IF(S865="nio",0,IF(S865&gt;0,VLOOKUP(G865,'3-Productie normen'!A:K,VLOOKUP(S865,'3-Productie normen'!L:N,3,FALSE),FALSE)))</f>
        <v>0</v>
      </c>
      <c r="V865" s="162">
        <f>VLOOKUP(G865,'3-Productie normen'!A:K,10,FALSE)</f>
        <v>6152.9500017547598</v>
      </c>
      <c r="W865" s="163">
        <f>VLOOKUP(G865,'3-Productie normen'!A:K,11,FALSE)</f>
        <v>0</v>
      </c>
      <c r="X865" s="163"/>
      <c r="Z865" s="129">
        <f t="shared" si="69"/>
        <v>4884</v>
      </c>
    </row>
    <row r="866" spans="1:26" ht="14.1" customHeight="1">
      <c r="A866" s="144">
        <v>904</v>
      </c>
      <c r="B866" s="485" t="s">
        <v>232</v>
      </c>
      <c r="C866" s="160" t="s">
        <v>487</v>
      </c>
      <c r="D866" s="493" t="s">
        <v>98</v>
      </c>
      <c r="E866" s="712" t="s">
        <v>326</v>
      </c>
      <c r="F866" s="492" t="s">
        <v>551</v>
      </c>
      <c r="G866" s="122" t="s">
        <v>285</v>
      </c>
      <c r="H866" s="492" t="s">
        <v>410</v>
      </c>
      <c r="I866" s="582" t="s">
        <v>952</v>
      </c>
      <c r="J866" s="586">
        <v>59.2</v>
      </c>
      <c r="K866" s="433">
        <f t="shared" si="65"/>
        <v>0</v>
      </c>
      <c r="L866" s="433">
        <f t="shared" si="66"/>
        <v>59.2</v>
      </c>
      <c r="M866" s="433">
        <f t="shared" si="67"/>
        <v>0</v>
      </c>
      <c r="N866" s="672"/>
      <c r="O866" s="729">
        <f>IF(N866="",0,N866*K866/'9b-Vloeronderhoud'!$F$4)</f>
        <v>0</v>
      </c>
      <c r="P866" s="672"/>
      <c r="Q866" s="729" t="e">
        <f>IF(O866="",0,P866*L866/'9b-Vloeronderhoud'!$F$6)</f>
        <v>#DIV/0!</v>
      </c>
      <c r="R866" s="449">
        <v>1</v>
      </c>
      <c r="S866" s="672">
        <v>190</v>
      </c>
      <c r="T866" s="161" t="e">
        <f t="shared" si="68"/>
        <v>#DIV/0!</v>
      </c>
      <c r="U866" s="162">
        <f>IF(S866="nio",0,IF(S866&gt;0,VLOOKUP(G866,'3-Productie normen'!A:K,VLOOKUP(S866,'3-Productie normen'!L:N,3,FALSE),FALSE)))</f>
        <v>0</v>
      </c>
      <c r="V866" s="162">
        <f>VLOOKUP(G866,'3-Productie normen'!A:K,10,FALSE)</f>
        <v>3305.8200070953367</v>
      </c>
      <c r="W866" s="163">
        <f>VLOOKUP(G866,'3-Productie normen'!A:K,11,FALSE)</f>
        <v>0</v>
      </c>
      <c r="X866" s="163"/>
      <c r="Z866" s="129">
        <f t="shared" si="69"/>
        <v>11248</v>
      </c>
    </row>
    <row r="867" spans="1:26" ht="14.1" customHeight="1">
      <c r="A867" s="144">
        <v>905</v>
      </c>
      <c r="B867" s="485" t="s">
        <v>232</v>
      </c>
      <c r="C867" s="160" t="s">
        <v>487</v>
      </c>
      <c r="D867" s="493" t="s">
        <v>98</v>
      </c>
      <c r="E867" s="712" t="s">
        <v>405</v>
      </c>
      <c r="F867" s="492" t="s">
        <v>282</v>
      </c>
      <c r="G867" s="460" t="s">
        <v>881</v>
      </c>
      <c r="H867" s="504" t="s">
        <v>375</v>
      </c>
      <c r="I867" s="582" t="str">
        <f>VLOOKUP(H867,'9a-Typen vloeren'!$A$10:$B$40,2,FALSE)</f>
        <v>n.v.t.</v>
      </c>
      <c r="J867" s="586">
        <v>4.7</v>
      </c>
      <c r="K867" s="433">
        <f t="shared" si="65"/>
        <v>0</v>
      </c>
      <c r="L867" s="433">
        <f t="shared" si="66"/>
        <v>0</v>
      </c>
      <c r="M867" s="433">
        <f t="shared" si="67"/>
        <v>0</v>
      </c>
      <c r="N867" s="672"/>
      <c r="O867" s="729">
        <f>IF(N867="",0,N867*K867/'9b-Vloeronderhoud'!$F$4)</f>
        <v>0</v>
      </c>
      <c r="P867" s="672"/>
      <c r="Q867" s="729" t="e">
        <f>IF(O867="",0,P867*L867/'9b-Vloeronderhoud'!$F$6)</f>
        <v>#DIV/0!</v>
      </c>
      <c r="R867" s="449">
        <v>1</v>
      </c>
      <c r="S867" s="672" t="s">
        <v>179</v>
      </c>
      <c r="T867" s="161">
        <f t="shared" si="68"/>
        <v>0</v>
      </c>
      <c r="U867" s="162">
        <f>IF(S867="nio",0,IF(S867&gt;0,VLOOKUP(G867,'3-Productie normen'!A:K,VLOOKUP(S867,'3-Productie normen'!L:N,3,FALSE),FALSE)))</f>
        <v>0</v>
      </c>
      <c r="V867" s="162">
        <f>VLOOKUP(G867,'3-Productie normen'!A:K,10,FALSE)</f>
        <v>5262.809993648526</v>
      </c>
      <c r="W867" s="163">
        <f>VLOOKUP(G867,'3-Productie normen'!A:K,11,FALSE)</f>
        <v>0</v>
      </c>
      <c r="X867" s="163"/>
      <c r="Z867" s="129">
        <f t="shared" si="69"/>
        <v>0</v>
      </c>
    </row>
    <row r="868" spans="1:26" ht="14.1" customHeight="1">
      <c r="A868" s="144">
        <v>906</v>
      </c>
      <c r="B868" s="485" t="s">
        <v>232</v>
      </c>
      <c r="C868" s="160" t="s">
        <v>487</v>
      </c>
      <c r="D868" s="493" t="s">
        <v>98</v>
      </c>
      <c r="E868" s="712" t="s">
        <v>330</v>
      </c>
      <c r="F868" s="492" t="s">
        <v>402</v>
      </c>
      <c r="G868" s="122" t="s">
        <v>18</v>
      </c>
      <c r="H868" s="504" t="s">
        <v>375</v>
      </c>
      <c r="I868" s="582" t="str">
        <f>VLOOKUP(H868,'9a-Typen vloeren'!$A$10:$B$40,2,FALSE)</f>
        <v>n.v.t.</v>
      </c>
      <c r="J868" s="586">
        <v>6.2</v>
      </c>
      <c r="K868" s="433">
        <f t="shared" si="65"/>
        <v>0</v>
      </c>
      <c r="L868" s="433">
        <f t="shared" si="66"/>
        <v>0</v>
      </c>
      <c r="M868" s="433">
        <f t="shared" si="67"/>
        <v>0</v>
      </c>
      <c r="N868" s="672"/>
      <c r="O868" s="729">
        <f>IF(N868="",0,N868*K868/'9b-Vloeronderhoud'!$F$4)</f>
        <v>0</v>
      </c>
      <c r="P868" s="672"/>
      <c r="Q868" s="729" t="e">
        <f>IF(O868="",0,P868*L868/'9b-Vloeronderhoud'!$F$6)</f>
        <v>#DIV/0!</v>
      </c>
      <c r="R868" s="449">
        <v>1</v>
      </c>
      <c r="S868" s="672">
        <v>190</v>
      </c>
      <c r="T868" s="161" t="e">
        <f t="shared" si="68"/>
        <v>#DIV/0!</v>
      </c>
      <c r="U868" s="162">
        <f>IF(S868="nio",0,IF(S868&gt;0,VLOOKUP(G868,'3-Productie normen'!A:K,VLOOKUP(S868,'3-Productie normen'!L:N,3,FALSE),FALSE)))</f>
        <v>0</v>
      </c>
      <c r="V868" s="162">
        <f>VLOOKUP(G868,'3-Productie normen'!A:K,10,FALSE)</f>
        <v>1859.5880019121171</v>
      </c>
      <c r="W868" s="163">
        <f>VLOOKUP(G868,'3-Productie normen'!A:K,11,FALSE)</f>
        <v>0</v>
      </c>
      <c r="X868" s="163"/>
      <c r="Z868" s="129">
        <f t="shared" si="69"/>
        <v>1178</v>
      </c>
    </row>
    <row r="869" spans="1:26" ht="14.1" customHeight="1">
      <c r="A869" s="144">
        <v>907</v>
      </c>
      <c r="B869" s="485" t="s">
        <v>232</v>
      </c>
      <c r="C869" s="160" t="s">
        <v>487</v>
      </c>
      <c r="D869" s="493" t="s">
        <v>98</v>
      </c>
      <c r="E869" s="715" t="s">
        <v>331</v>
      </c>
      <c r="F869" s="524" t="s">
        <v>551</v>
      </c>
      <c r="G869" s="303" t="s">
        <v>285</v>
      </c>
      <c r="H869" s="492" t="s">
        <v>410</v>
      </c>
      <c r="I869" s="582" t="s">
        <v>952</v>
      </c>
      <c r="J869" s="586">
        <v>66</v>
      </c>
      <c r="K869" s="433">
        <f t="shared" ref="K869:K950" si="70">IF(G869="niet in onderhoud",0,IF(I869="sprayen/ conserveren",J869,0))</f>
        <v>0</v>
      </c>
      <c r="L869" s="433">
        <f t="shared" ref="L869:L950" si="71">IF(G869="niet in onderhoud",0,IF(I869="schrobben",J869,0))</f>
        <v>66</v>
      </c>
      <c r="M869" s="433">
        <f t="shared" ref="M869:M950" si="72">IF(G869="niet in onderhoud",0,IF(I869="Sproei/extraheren",J869,0))</f>
        <v>0</v>
      </c>
      <c r="N869" s="672"/>
      <c r="O869" s="729">
        <f>IF(N869="",0,N869*K869/'9b-Vloeronderhoud'!$F$4)</f>
        <v>0</v>
      </c>
      <c r="P869" s="672"/>
      <c r="Q869" s="729" t="e">
        <f>IF(O869="",0,P869*L869/'9b-Vloeronderhoud'!$F$6)</f>
        <v>#DIV/0!</v>
      </c>
      <c r="R869" s="449">
        <v>1</v>
      </c>
      <c r="S869" s="672">
        <v>190</v>
      </c>
      <c r="T869" s="161" t="e">
        <f t="shared" si="68"/>
        <v>#DIV/0!</v>
      </c>
      <c r="U869" s="162">
        <f>IF(S869="nio",0,IF(S869&gt;0,VLOOKUP(G869,'3-Productie normen'!A:K,VLOOKUP(S869,'3-Productie normen'!L:N,3,FALSE),FALSE)))</f>
        <v>0</v>
      </c>
      <c r="V869" s="162">
        <f>VLOOKUP(G869,'3-Productie normen'!A:K,10,FALSE)</f>
        <v>3305.8200070953367</v>
      </c>
      <c r="W869" s="163">
        <f>VLOOKUP(G869,'3-Productie normen'!A:K,11,FALSE)</f>
        <v>0</v>
      </c>
      <c r="X869" s="163"/>
      <c r="Z869" s="129">
        <f t="shared" si="69"/>
        <v>12540</v>
      </c>
    </row>
    <row r="870" spans="1:26" ht="14.1" customHeight="1">
      <c r="A870" s="144">
        <v>908</v>
      </c>
      <c r="B870" s="485" t="s">
        <v>232</v>
      </c>
      <c r="C870" s="160" t="s">
        <v>487</v>
      </c>
      <c r="D870" s="493" t="s">
        <v>98</v>
      </c>
      <c r="E870" s="712" t="s">
        <v>406</v>
      </c>
      <c r="F870" s="492" t="s">
        <v>282</v>
      </c>
      <c r="G870" s="460" t="s">
        <v>881</v>
      </c>
      <c r="H870" s="504" t="s">
        <v>375</v>
      </c>
      <c r="I870" s="582" t="str">
        <f>VLOOKUP(H870,'9a-Typen vloeren'!$A$10:$B$40,2,FALSE)</f>
        <v>n.v.t.</v>
      </c>
      <c r="J870" s="586">
        <v>6.1</v>
      </c>
      <c r="K870" s="433">
        <f t="shared" si="70"/>
        <v>0</v>
      </c>
      <c r="L870" s="433">
        <f t="shared" si="71"/>
        <v>0</v>
      </c>
      <c r="M870" s="433">
        <f t="shared" si="72"/>
        <v>0</v>
      </c>
      <c r="N870" s="672"/>
      <c r="O870" s="729">
        <f>IF(N870="",0,N870*K870/'9b-Vloeronderhoud'!$F$4)</f>
        <v>0</v>
      </c>
      <c r="P870" s="672"/>
      <c r="Q870" s="729" t="e">
        <f>IF(O870="",0,P870*L870/'9b-Vloeronderhoud'!$F$6)</f>
        <v>#DIV/0!</v>
      </c>
      <c r="R870" s="449">
        <v>1</v>
      </c>
      <c r="S870" s="672" t="s">
        <v>179</v>
      </c>
      <c r="T870" s="161">
        <f t="shared" si="68"/>
        <v>0</v>
      </c>
      <c r="U870" s="162">
        <f>IF(S870="nio",0,IF(S870&gt;0,VLOOKUP(G870,'3-Productie normen'!A:K,VLOOKUP(S870,'3-Productie normen'!L:N,3,FALSE),FALSE)))</f>
        <v>0</v>
      </c>
      <c r="V870" s="162">
        <f>VLOOKUP(G870,'3-Productie normen'!A:K,10,FALSE)</f>
        <v>5262.809993648526</v>
      </c>
      <c r="W870" s="163">
        <f>VLOOKUP(G870,'3-Productie normen'!A:K,11,FALSE)</f>
        <v>0</v>
      </c>
      <c r="X870" s="163"/>
      <c r="Z870" s="129">
        <f t="shared" si="69"/>
        <v>0</v>
      </c>
    </row>
    <row r="871" spans="1:26" ht="14.1" customHeight="1">
      <c r="A871" s="144">
        <v>909</v>
      </c>
      <c r="B871" s="485" t="s">
        <v>232</v>
      </c>
      <c r="C871" s="160" t="s">
        <v>487</v>
      </c>
      <c r="D871" s="493" t="s">
        <v>98</v>
      </c>
      <c r="E871" s="712" t="s">
        <v>407</v>
      </c>
      <c r="F871" s="492" t="s">
        <v>402</v>
      </c>
      <c r="G871" s="460" t="s">
        <v>18</v>
      </c>
      <c r="H871" s="303" t="s">
        <v>955</v>
      </c>
      <c r="I871" s="582" t="str">
        <f>VLOOKUP(H871,'9a-Typen vloeren'!$A$10:$B$40,2,FALSE)</f>
        <v>zie kwaliteitsontwerp</v>
      </c>
      <c r="J871" s="586">
        <v>3.7</v>
      </c>
      <c r="K871" s="433">
        <f t="shared" si="70"/>
        <v>0</v>
      </c>
      <c r="L871" s="433">
        <f t="shared" si="71"/>
        <v>0</v>
      </c>
      <c r="M871" s="433">
        <f t="shared" si="72"/>
        <v>0</v>
      </c>
      <c r="N871" s="672"/>
      <c r="O871" s="729">
        <f>IF(N871="",0,N871*K871/'9b-Vloeronderhoud'!$F$4)</f>
        <v>0</v>
      </c>
      <c r="P871" s="672"/>
      <c r="Q871" s="729" t="e">
        <f>IF(O871="",0,P871*L871/'9b-Vloeronderhoud'!$F$6)</f>
        <v>#DIV/0!</v>
      </c>
      <c r="R871" s="449">
        <v>1</v>
      </c>
      <c r="S871" s="672">
        <v>190</v>
      </c>
      <c r="T871" s="161" t="e">
        <f t="shared" si="68"/>
        <v>#DIV/0!</v>
      </c>
      <c r="U871" s="162">
        <f>IF(S871="nio",0,IF(S871&gt;0,VLOOKUP(G871,'3-Productie normen'!A:K,VLOOKUP(S871,'3-Productie normen'!L:N,3,FALSE),FALSE)))</f>
        <v>0</v>
      </c>
      <c r="V871" s="162">
        <f>VLOOKUP(G871,'3-Productie normen'!A:K,10,FALSE)</f>
        <v>1859.5880019121171</v>
      </c>
      <c r="W871" s="163">
        <f>VLOOKUP(G871,'3-Productie normen'!A:K,11,FALSE)</f>
        <v>0</v>
      </c>
      <c r="X871" s="163"/>
      <c r="Z871" s="129">
        <f t="shared" si="69"/>
        <v>703</v>
      </c>
    </row>
    <row r="872" spans="1:26" ht="14.1" customHeight="1">
      <c r="A872" s="144">
        <v>910</v>
      </c>
      <c r="B872" s="485" t="s">
        <v>232</v>
      </c>
      <c r="C872" s="160" t="s">
        <v>487</v>
      </c>
      <c r="D872" s="493" t="s">
        <v>98</v>
      </c>
      <c r="E872" s="712" t="s">
        <v>408</v>
      </c>
      <c r="F872" s="492" t="s">
        <v>402</v>
      </c>
      <c r="G872" s="546" t="s">
        <v>18</v>
      </c>
      <c r="H872" s="303" t="s">
        <v>955</v>
      </c>
      <c r="I872" s="582" t="str">
        <f>VLOOKUP(H872,'9a-Typen vloeren'!$A$10:$B$40,2,FALSE)</f>
        <v>zie kwaliteitsontwerp</v>
      </c>
      <c r="J872" s="586">
        <v>6.2</v>
      </c>
      <c r="K872" s="433">
        <f t="shared" si="70"/>
        <v>0</v>
      </c>
      <c r="L872" s="433">
        <f t="shared" si="71"/>
        <v>0</v>
      </c>
      <c r="M872" s="433">
        <f t="shared" si="72"/>
        <v>0</v>
      </c>
      <c r="N872" s="672"/>
      <c r="O872" s="729">
        <f>IF(N872="",0,N872*K872/'9b-Vloeronderhoud'!$F$4)</f>
        <v>0</v>
      </c>
      <c r="P872" s="672"/>
      <c r="Q872" s="729" t="e">
        <f>IF(O872="",0,P872*L872/'9b-Vloeronderhoud'!$F$6)</f>
        <v>#DIV/0!</v>
      </c>
      <c r="R872" s="449">
        <v>1</v>
      </c>
      <c r="S872" s="672">
        <v>190</v>
      </c>
      <c r="T872" s="161" t="e">
        <f t="shared" si="68"/>
        <v>#DIV/0!</v>
      </c>
      <c r="U872" s="162">
        <f>IF(S872="nio",0,IF(S872&gt;0,VLOOKUP(G872,'3-Productie normen'!A:K,VLOOKUP(S872,'3-Productie normen'!L:N,3,FALSE),FALSE)))</f>
        <v>0</v>
      </c>
      <c r="V872" s="162">
        <f>VLOOKUP(G872,'3-Productie normen'!A:K,10,FALSE)</f>
        <v>1859.5880019121171</v>
      </c>
      <c r="W872" s="163">
        <f>VLOOKUP(G872,'3-Productie normen'!A:K,11,FALSE)</f>
        <v>0</v>
      </c>
      <c r="X872" s="163"/>
      <c r="Z872" s="129">
        <f t="shared" si="69"/>
        <v>1178</v>
      </c>
    </row>
    <row r="873" spans="1:26" ht="14.1" customHeight="1">
      <c r="A873" s="144">
        <v>911</v>
      </c>
      <c r="B873" s="517" t="s">
        <v>246</v>
      </c>
      <c r="C873" s="516" t="s">
        <v>708</v>
      </c>
      <c r="D873" s="657" t="s">
        <v>98</v>
      </c>
      <c r="E873" s="716" t="s">
        <v>294</v>
      </c>
      <c r="F873" s="659" t="s">
        <v>489</v>
      </c>
      <c r="G873" s="659" t="s">
        <v>99</v>
      </c>
      <c r="H873" s="659" t="s">
        <v>802</v>
      </c>
      <c r="I873" s="660" t="str">
        <f>VLOOKUP(H873,'9a-Typen vloeren'!$A$10:$B$40,2,FALSE)</f>
        <v>n.v.t.</v>
      </c>
      <c r="J873" s="661">
        <v>7.5</v>
      </c>
      <c r="K873" s="433">
        <f t="shared" si="70"/>
        <v>0</v>
      </c>
      <c r="L873" s="433">
        <f t="shared" si="71"/>
        <v>0</v>
      </c>
      <c r="M873" s="433">
        <f t="shared" si="72"/>
        <v>0</v>
      </c>
      <c r="N873" s="672"/>
      <c r="O873" s="729">
        <f>IF(N873="",0,N873*K873/'9b-Vloeronderhoud'!$F$4)</f>
        <v>0</v>
      </c>
      <c r="P873" s="672"/>
      <c r="Q873" s="729" t="e">
        <f>IF(O873="",0,P873*L873/'9b-Vloeronderhoud'!$F$6)</f>
        <v>#DIV/0!</v>
      </c>
      <c r="R873" s="449">
        <v>1</v>
      </c>
      <c r="S873" s="676">
        <v>190</v>
      </c>
      <c r="T873" s="161" t="e">
        <f t="shared" si="68"/>
        <v>#DIV/0!</v>
      </c>
      <c r="U873" s="162">
        <f>IF(S873="nio",0,IF(S873&gt;0,VLOOKUP(G873,'3-Productie normen'!A:K,VLOOKUP(S873,'3-Productie normen'!L:N,3,FALSE),FALSE)))</f>
        <v>0</v>
      </c>
      <c r="V873" s="162">
        <f>VLOOKUP(G873,'3-Productie normen'!A:K,10,FALSE)</f>
        <v>726.97999910354622</v>
      </c>
      <c r="W873" s="163">
        <f>VLOOKUP(G873,'3-Productie normen'!A:K,11,FALSE)</f>
        <v>0</v>
      </c>
      <c r="X873" s="163"/>
      <c r="Z873" s="129">
        <f t="shared" si="69"/>
        <v>1425</v>
      </c>
    </row>
    <row r="874" spans="1:26" ht="14.1" customHeight="1">
      <c r="A874" s="144">
        <v>912</v>
      </c>
      <c r="B874" s="517" t="s">
        <v>246</v>
      </c>
      <c r="C874" s="516" t="s">
        <v>708</v>
      </c>
      <c r="D874" s="657" t="s">
        <v>98</v>
      </c>
      <c r="E874" s="716" t="s">
        <v>295</v>
      </c>
      <c r="F874" s="659" t="s">
        <v>404</v>
      </c>
      <c r="G874" s="659" t="s">
        <v>286</v>
      </c>
      <c r="H874" s="659" t="s">
        <v>1058</v>
      </c>
      <c r="I874" s="660" t="str">
        <f>VLOOKUP(H874,'9a-Typen vloeren'!$A$10:$B$40,2,FALSE)</f>
        <v>Sproei/extraheren</v>
      </c>
      <c r="J874" s="661">
        <v>19</v>
      </c>
      <c r="K874" s="433">
        <f t="shared" si="70"/>
        <v>0</v>
      </c>
      <c r="L874" s="433">
        <f t="shared" si="71"/>
        <v>0</v>
      </c>
      <c r="M874" s="433">
        <f t="shared" si="72"/>
        <v>19</v>
      </c>
      <c r="N874" s="672"/>
      <c r="O874" s="729">
        <f>IF(N874="",0,N874*K874/'9b-Vloeronderhoud'!$F$4)</f>
        <v>0</v>
      </c>
      <c r="P874" s="672"/>
      <c r="Q874" s="729" t="e">
        <f>IF(O874="",0,P874*L874/'9b-Vloeronderhoud'!$F$6)</f>
        <v>#DIV/0!</v>
      </c>
      <c r="R874" s="449">
        <v>1</v>
      </c>
      <c r="S874" s="672">
        <v>120</v>
      </c>
      <c r="T874" s="161" t="e">
        <f t="shared" si="68"/>
        <v>#DIV/0!</v>
      </c>
      <c r="U874" s="162">
        <f>IF(S874="nio",0,IF(S874&gt;0,VLOOKUP(G874,'3-Productie normen'!A:K,VLOOKUP(S874,'3-Productie normen'!L:N,3,FALSE),FALSE)))</f>
        <v>0</v>
      </c>
      <c r="V874" s="162">
        <f>VLOOKUP(G874,'3-Productie normen'!A:K,10,FALSE)</f>
        <v>6152.9500017547598</v>
      </c>
      <c r="W874" s="163">
        <f>VLOOKUP(G874,'3-Productie normen'!A:K,11,FALSE)</f>
        <v>0</v>
      </c>
      <c r="X874" s="163"/>
      <c r="Z874" s="129">
        <f t="shared" si="69"/>
        <v>2280</v>
      </c>
    </row>
    <row r="875" spans="1:26" ht="14.1" customHeight="1">
      <c r="A875" s="144">
        <v>913</v>
      </c>
      <c r="B875" s="517" t="s">
        <v>246</v>
      </c>
      <c r="C875" s="516" t="s">
        <v>708</v>
      </c>
      <c r="D875" s="657" t="s">
        <v>98</v>
      </c>
      <c r="E875" s="716" t="s">
        <v>296</v>
      </c>
      <c r="F875" s="659" t="s">
        <v>267</v>
      </c>
      <c r="G875" s="659" t="s">
        <v>18</v>
      </c>
      <c r="H875" s="659" t="s">
        <v>101</v>
      </c>
      <c r="I875" s="660" t="str">
        <f>VLOOKUP(H875,'9a-Typen vloeren'!$A$10:$B$40,2,FALSE)</f>
        <v>Schrobben</v>
      </c>
      <c r="J875" s="661">
        <v>4.9000000000000004</v>
      </c>
      <c r="K875" s="433">
        <f t="shared" si="70"/>
        <v>0</v>
      </c>
      <c r="L875" s="433">
        <f t="shared" si="71"/>
        <v>4.9000000000000004</v>
      </c>
      <c r="M875" s="433">
        <f t="shared" si="72"/>
        <v>0</v>
      </c>
      <c r="N875" s="672"/>
      <c r="O875" s="729">
        <f>IF(N875="",0,N875*K875/'9b-Vloeronderhoud'!$F$4)</f>
        <v>0</v>
      </c>
      <c r="P875" s="672"/>
      <c r="Q875" s="729" t="e">
        <f>IF(O875="",0,P875*L875/'9b-Vloeronderhoud'!$F$6)</f>
        <v>#DIV/0!</v>
      </c>
      <c r="R875" s="449">
        <v>1</v>
      </c>
      <c r="S875" s="676">
        <v>190</v>
      </c>
      <c r="T875" s="161" t="e">
        <f t="shared" si="68"/>
        <v>#DIV/0!</v>
      </c>
      <c r="U875" s="162">
        <f>IF(S875="nio",0,IF(S875&gt;0,VLOOKUP(G875,'3-Productie normen'!A:K,VLOOKUP(S875,'3-Productie normen'!L:N,3,FALSE),FALSE)))</f>
        <v>0</v>
      </c>
      <c r="V875" s="162">
        <f>VLOOKUP(G875,'3-Productie normen'!A:K,10,FALSE)</f>
        <v>1859.5880019121171</v>
      </c>
      <c r="W875" s="163">
        <f>VLOOKUP(G875,'3-Productie normen'!A:K,11,FALSE)</f>
        <v>0</v>
      </c>
      <c r="X875" s="163"/>
      <c r="Z875" s="129">
        <f t="shared" si="69"/>
        <v>931.00000000000011</v>
      </c>
    </row>
    <row r="876" spans="1:26" ht="14.1" customHeight="1">
      <c r="A876" s="144">
        <v>914</v>
      </c>
      <c r="B876" s="517" t="s">
        <v>246</v>
      </c>
      <c r="C876" s="516" t="s">
        <v>708</v>
      </c>
      <c r="D876" s="657" t="s">
        <v>98</v>
      </c>
      <c r="E876" s="716" t="s">
        <v>298</v>
      </c>
      <c r="F876" s="659" t="s">
        <v>267</v>
      </c>
      <c r="G876" s="659" t="s">
        <v>18</v>
      </c>
      <c r="H876" s="659" t="s">
        <v>101</v>
      </c>
      <c r="I876" s="660" t="str">
        <f>VLOOKUP(H876,'9a-Typen vloeren'!$A$10:$B$40,2,FALSE)</f>
        <v>Schrobben</v>
      </c>
      <c r="J876" s="661">
        <v>4.9000000000000004</v>
      </c>
      <c r="K876" s="433">
        <f t="shared" si="70"/>
        <v>0</v>
      </c>
      <c r="L876" s="433">
        <f t="shared" si="71"/>
        <v>4.9000000000000004</v>
      </c>
      <c r="M876" s="433">
        <f t="shared" si="72"/>
        <v>0</v>
      </c>
      <c r="N876" s="672"/>
      <c r="O876" s="729">
        <f>IF(N876="",0,N876*K876/'9b-Vloeronderhoud'!$F$4)</f>
        <v>0</v>
      </c>
      <c r="P876" s="672"/>
      <c r="Q876" s="729" t="e">
        <f>IF(O876="",0,P876*L876/'9b-Vloeronderhoud'!$F$6)</f>
        <v>#DIV/0!</v>
      </c>
      <c r="R876" s="449">
        <v>1</v>
      </c>
      <c r="S876" s="676">
        <v>190</v>
      </c>
      <c r="T876" s="161" t="e">
        <f t="shared" si="68"/>
        <v>#DIV/0!</v>
      </c>
      <c r="U876" s="162">
        <f>IF(S876="nio",0,IF(S876&gt;0,VLOOKUP(G876,'3-Productie normen'!A:K,VLOOKUP(S876,'3-Productie normen'!L:N,3,FALSE),FALSE)))</f>
        <v>0</v>
      </c>
      <c r="V876" s="162">
        <f>VLOOKUP(G876,'3-Productie normen'!A:K,10,FALSE)</f>
        <v>1859.5880019121171</v>
      </c>
      <c r="W876" s="163">
        <f>VLOOKUP(G876,'3-Productie normen'!A:K,11,FALSE)</f>
        <v>0</v>
      </c>
      <c r="X876" s="163"/>
      <c r="Z876" s="129">
        <f t="shared" si="69"/>
        <v>931.00000000000011</v>
      </c>
    </row>
    <row r="877" spans="1:26" ht="14.1" customHeight="1">
      <c r="A877" s="144">
        <v>915</v>
      </c>
      <c r="B877" s="517" t="s">
        <v>246</v>
      </c>
      <c r="C877" s="516" t="s">
        <v>708</v>
      </c>
      <c r="D877" s="657" t="s">
        <v>98</v>
      </c>
      <c r="E877" s="716" t="s">
        <v>301</v>
      </c>
      <c r="F877" s="659" t="s">
        <v>281</v>
      </c>
      <c r="G877" s="659" t="s">
        <v>861</v>
      </c>
      <c r="H877" s="659" t="s">
        <v>100</v>
      </c>
      <c r="I877" s="660" t="str">
        <f>VLOOKUP(H877,'9a-Typen vloeren'!$A$10:$B$40,2,FALSE)</f>
        <v>Sprayen/ conserveren</v>
      </c>
      <c r="J877" s="661">
        <v>1.5</v>
      </c>
      <c r="K877" s="433">
        <f t="shared" si="70"/>
        <v>1.5</v>
      </c>
      <c r="L877" s="433">
        <f t="shared" si="71"/>
        <v>0</v>
      </c>
      <c r="M877" s="433">
        <f t="shared" si="72"/>
        <v>0</v>
      </c>
      <c r="N877" s="672"/>
      <c r="O877" s="729">
        <f>IF(N877="",0,N877*K877/'9b-Vloeronderhoud'!$F$4)</f>
        <v>0</v>
      </c>
      <c r="P877" s="672"/>
      <c r="Q877" s="729" t="e">
        <f>IF(O877="",0,P877*L877/'9b-Vloeronderhoud'!$F$6)</f>
        <v>#DIV/0!</v>
      </c>
      <c r="R877" s="449">
        <v>1</v>
      </c>
      <c r="S877" s="676" t="s">
        <v>179</v>
      </c>
      <c r="T877" s="161">
        <f t="shared" si="68"/>
        <v>0</v>
      </c>
      <c r="U877" s="162">
        <f>IF(S877="nio",0,IF(S877&gt;0,VLOOKUP(G877,'3-Productie normen'!A:K,VLOOKUP(S877,'3-Productie normen'!L:N,3,FALSE),FALSE)))</f>
        <v>0</v>
      </c>
      <c r="V877" s="162">
        <f>VLOOKUP(G877,'3-Productie normen'!A:K,10,FALSE)</f>
        <v>137.96000057220459</v>
      </c>
      <c r="W877" s="163">
        <f>VLOOKUP(G877,'3-Productie normen'!A:K,11,FALSE)</f>
        <v>0</v>
      </c>
      <c r="X877" s="163"/>
      <c r="Z877" s="129">
        <f t="shared" si="69"/>
        <v>0</v>
      </c>
    </row>
    <row r="878" spans="1:26" ht="14.1" customHeight="1">
      <c r="A878" s="144">
        <v>916</v>
      </c>
      <c r="B878" s="517" t="s">
        <v>246</v>
      </c>
      <c r="C878" s="516" t="s">
        <v>708</v>
      </c>
      <c r="D878" s="657" t="s">
        <v>98</v>
      </c>
      <c r="E878" s="716" t="s">
        <v>303</v>
      </c>
      <c r="F878" s="659" t="s">
        <v>574</v>
      </c>
      <c r="G878" s="659" t="s">
        <v>18</v>
      </c>
      <c r="H878" s="659" t="s">
        <v>101</v>
      </c>
      <c r="I878" s="660" t="str">
        <f>VLOOKUP(H878,'9a-Typen vloeren'!$A$10:$B$40,2,FALSE)</f>
        <v>Schrobben</v>
      </c>
      <c r="J878" s="661">
        <v>3.7</v>
      </c>
      <c r="K878" s="433">
        <f t="shared" si="70"/>
        <v>0</v>
      </c>
      <c r="L878" s="433">
        <f t="shared" si="71"/>
        <v>3.7</v>
      </c>
      <c r="M878" s="433">
        <f t="shared" si="72"/>
        <v>0</v>
      </c>
      <c r="N878" s="672"/>
      <c r="O878" s="729">
        <f>IF(N878="",0,N878*K878/'9b-Vloeronderhoud'!$F$4)</f>
        <v>0</v>
      </c>
      <c r="P878" s="672"/>
      <c r="Q878" s="729" t="e">
        <f>IF(O878="",0,P878*L878/'9b-Vloeronderhoud'!$F$6)</f>
        <v>#DIV/0!</v>
      </c>
      <c r="R878" s="449">
        <v>1</v>
      </c>
      <c r="S878" s="676">
        <v>190</v>
      </c>
      <c r="T878" s="161" t="e">
        <f t="shared" si="68"/>
        <v>#DIV/0!</v>
      </c>
      <c r="U878" s="162">
        <f>IF(S878="nio",0,IF(S878&gt;0,VLOOKUP(G878,'3-Productie normen'!A:K,VLOOKUP(S878,'3-Productie normen'!L:N,3,FALSE),FALSE)))</f>
        <v>0</v>
      </c>
      <c r="V878" s="162">
        <f>VLOOKUP(G878,'3-Productie normen'!A:K,10,FALSE)</f>
        <v>1859.5880019121171</v>
      </c>
      <c r="W878" s="163">
        <f>VLOOKUP(G878,'3-Productie normen'!A:K,11,FALSE)</f>
        <v>0</v>
      </c>
      <c r="X878" s="163"/>
      <c r="Z878" s="129">
        <f t="shared" si="69"/>
        <v>703</v>
      </c>
    </row>
    <row r="879" spans="1:26" ht="14.1" customHeight="1">
      <c r="A879" s="144">
        <v>917</v>
      </c>
      <c r="B879" s="517" t="s">
        <v>246</v>
      </c>
      <c r="C879" s="516" t="s">
        <v>708</v>
      </c>
      <c r="D879" s="657" t="s">
        <v>98</v>
      </c>
      <c r="E879" s="716" t="s">
        <v>305</v>
      </c>
      <c r="F879" s="659" t="s">
        <v>382</v>
      </c>
      <c r="G879" s="659" t="s">
        <v>861</v>
      </c>
      <c r="H879" s="659" t="s">
        <v>101</v>
      </c>
      <c r="I879" s="660" t="str">
        <f>VLOOKUP(H879,'9a-Typen vloeren'!$A$10:$B$40,2,FALSE)</f>
        <v>Schrobben</v>
      </c>
      <c r="J879" s="661">
        <v>8</v>
      </c>
      <c r="K879" s="433">
        <f t="shared" si="70"/>
        <v>0</v>
      </c>
      <c r="L879" s="433">
        <f t="shared" si="71"/>
        <v>8</v>
      </c>
      <c r="M879" s="433">
        <f t="shared" si="72"/>
        <v>0</v>
      </c>
      <c r="N879" s="672"/>
      <c r="O879" s="729">
        <f>IF(N879="",0,N879*K879/'9b-Vloeronderhoud'!$F$4)</f>
        <v>0</v>
      </c>
      <c r="P879" s="672"/>
      <c r="Q879" s="729" t="e">
        <f>IF(O879="",0,P879*L879/'9b-Vloeronderhoud'!$F$6)</f>
        <v>#DIV/0!</v>
      </c>
      <c r="R879" s="449">
        <v>1</v>
      </c>
      <c r="S879" s="676" t="s">
        <v>179</v>
      </c>
      <c r="T879" s="161">
        <f t="shared" si="68"/>
        <v>0</v>
      </c>
      <c r="U879" s="162">
        <f>IF(S879="nio",0,IF(S879&gt;0,VLOOKUP(G879,'3-Productie normen'!A:K,VLOOKUP(S879,'3-Productie normen'!L:N,3,FALSE),FALSE)))</f>
        <v>0</v>
      </c>
      <c r="V879" s="162">
        <f>VLOOKUP(G879,'3-Productie normen'!A:K,10,FALSE)</f>
        <v>137.96000057220459</v>
      </c>
      <c r="W879" s="163">
        <f>VLOOKUP(G879,'3-Productie normen'!A:K,11,FALSE)</f>
        <v>0</v>
      </c>
      <c r="X879" s="163"/>
      <c r="Z879" s="129">
        <f t="shared" si="69"/>
        <v>0</v>
      </c>
    </row>
    <row r="880" spans="1:26" ht="14.1" customHeight="1">
      <c r="A880" s="144">
        <v>918</v>
      </c>
      <c r="B880" s="517" t="s">
        <v>246</v>
      </c>
      <c r="C880" s="516" t="s">
        <v>708</v>
      </c>
      <c r="D880" s="657" t="s">
        <v>98</v>
      </c>
      <c r="E880" s="716" t="s">
        <v>306</v>
      </c>
      <c r="F880" s="659" t="s">
        <v>561</v>
      </c>
      <c r="G880" s="659" t="s">
        <v>862</v>
      </c>
      <c r="H880" s="659" t="s">
        <v>100</v>
      </c>
      <c r="I880" s="660" t="str">
        <f>VLOOKUP(H880,'9a-Typen vloeren'!$A$10:$B$40,2,FALSE)</f>
        <v>Sprayen/ conserveren</v>
      </c>
      <c r="J880" s="661">
        <v>22.5</v>
      </c>
      <c r="K880" s="433">
        <f t="shared" si="70"/>
        <v>22.5</v>
      </c>
      <c r="L880" s="433">
        <f t="shared" si="71"/>
        <v>0</v>
      </c>
      <c r="M880" s="433">
        <f t="shared" si="72"/>
        <v>0</v>
      </c>
      <c r="N880" s="672">
        <v>2</v>
      </c>
      <c r="O880" s="729" t="e">
        <f>IF(N880="",0,N880*K880/'9b-Vloeronderhoud'!$F$4)</f>
        <v>#DIV/0!</v>
      </c>
      <c r="P880" s="672"/>
      <c r="Q880" s="729" t="e">
        <f>IF(O880="",0,P880*L880/'9b-Vloeronderhoud'!$F$6)</f>
        <v>#DIV/0!</v>
      </c>
      <c r="R880" s="449">
        <v>1</v>
      </c>
      <c r="S880" s="672">
        <v>120</v>
      </c>
      <c r="T880" s="161" t="e">
        <f t="shared" si="68"/>
        <v>#DIV/0!</v>
      </c>
      <c r="U880" s="162">
        <f>IF(S880="nio",0,IF(S880&gt;0,VLOOKUP(G880,'3-Productie normen'!A:K,VLOOKUP(S880,'3-Productie normen'!L:N,3,FALSE),FALSE)))</f>
        <v>0</v>
      </c>
      <c r="V880" s="162">
        <f>VLOOKUP(G880,'3-Productie normen'!A:K,10,FALSE)</f>
        <v>4374.9900215911857</v>
      </c>
      <c r="W880" s="163">
        <f>VLOOKUP(G880,'3-Productie normen'!A:K,11,FALSE)</f>
        <v>0</v>
      </c>
      <c r="X880" s="163"/>
      <c r="Z880" s="129">
        <f t="shared" si="69"/>
        <v>2700</v>
      </c>
    </row>
    <row r="881" spans="1:26" ht="14.1" customHeight="1">
      <c r="A881" s="144">
        <v>919</v>
      </c>
      <c r="B881" s="517" t="s">
        <v>246</v>
      </c>
      <c r="C881" s="516" t="s">
        <v>708</v>
      </c>
      <c r="D881" s="657" t="s">
        <v>98</v>
      </c>
      <c r="E881" s="716" t="s">
        <v>307</v>
      </c>
      <c r="F881" s="659" t="s">
        <v>556</v>
      </c>
      <c r="G881" s="659" t="s">
        <v>189</v>
      </c>
      <c r="H881" s="659" t="s">
        <v>1058</v>
      </c>
      <c r="I881" s="660" t="str">
        <f>VLOOKUP(H881,'9a-Typen vloeren'!$A$10:$B$40,2,FALSE)</f>
        <v>Sproei/extraheren</v>
      </c>
      <c r="J881" s="661">
        <v>22</v>
      </c>
      <c r="K881" s="433">
        <f t="shared" si="70"/>
        <v>0</v>
      </c>
      <c r="L881" s="433">
        <f t="shared" si="71"/>
        <v>0</v>
      </c>
      <c r="M881" s="433">
        <f t="shared" si="72"/>
        <v>22</v>
      </c>
      <c r="N881" s="672"/>
      <c r="O881" s="729">
        <f>IF(N881="",0,N881*K881/'9b-Vloeronderhoud'!$F$4)</f>
        <v>0</v>
      </c>
      <c r="P881" s="672"/>
      <c r="Q881" s="729" t="e">
        <f>IF(O881="",0,P881*L881/'9b-Vloeronderhoud'!$F$6)</f>
        <v>#DIV/0!</v>
      </c>
      <c r="R881" s="449">
        <v>1</v>
      </c>
      <c r="S881" s="675">
        <v>40</v>
      </c>
      <c r="T881" s="161" t="e">
        <f t="shared" si="68"/>
        <v>#DIV/0!</v>
      </c>
      <c r="U881" s="162">
        <f>IF(S881="nio",0,IF(S881&gt;0,VLOOKUP(G881,'3-Productie normen'!A:K,VLOOKUP(S881,'3-Productie normen'!L:N,3,FALSE),FALSE)))</f>
        <v>0</v>
      </c>
      <c r="V881" s="162">
        <f>VLOOKUP(G881,'3-Productie normen'!A:K,10,FALSE)</f>
        <v>1494.1700078582762</v>
      </c>
      <c r="W881" s="163">
        <f>VLOOKUP(G881,'3-Productie normen'!A:K,11,FALSE)</f>
        <v>0</v>
      </c>
      <c r="X881" s="163"/>
      <c r="Z881" s="129">
        <f t="shared" si="69"/>
        <v>880</v>
      </c>
    </row>
    <row r="882" spans="1:26" ht="14.1" customHeight="1">
      <c r="A882" s="144">
        <v>920</v>
      </c>
      <c r="B882" s="485" t="s">
        <v>246</v>
      </c>
      <c r="C882" s="160" t="s">
        <v>708</v>
      </c>
      <c r="D882" s="657" t="s">
        <v>98</v>
      </c>
      <c r="E882" s="716" t="s">
        <v>309</v>
      </c>
      <c r="F882" s="659" t="s">
        <v>1101</v>
      </c>
      <c r="G882" s="659" t="s">
        <v>861</v>
      </c>
      <c r="H882" s="659" t="s">
        <v>1058</v>
      </c>
      <c r="I882" s="660" t="str">
        <f>VLOOKUP(H882,'9a-Typen vloeren'!$A$10:$B$40,2,FALSE)</f>
        <v>Sproei/extraheren</v>
      </c>
      <c r="J882" s="661">
        <v>11</v>
      </c>
      <c r="K882" s="433">
        <f t="shared" si="70"/>
        <v>0</v>
      </c>
      <c r="L882" s="433">
        <f t="shared" si="71"/>
        <v>0</v>
      </c>
      <c r="M882" s="433">
        <f t="shared" si="72"/>
        <v>11</v>
      </c>
      <c r="N882" s="672"/>
      <c r="O882" s="729">
        <f>IF(N882="",0,N882*K882/'9b-Vloeronderhoud'!$F$4)</f>
        <v>0</v>
      </c>
      <c r="P882" s="672"/>
      <c r="Q882" s="729" t="e">
        <f>IF(O882="",0,P882*L882/'9b-Vloeronderhoud'!$F$6)</f>
        <v>#DIV/0!</v>
      </c>
      <c r="R882" s="449">
        <v>1</v>
      </c>
      <c r="S882" s="676" t="s">
        <v>179</v>
      </c>
      <c r="T882" s="161">
        <f t="shared" si="68"/>
        <v>0</v>
      </c>
      <c r="U882" s="162">
        <f>IF(S882="nio",0,IF(S882&gt;0,VLOOKUP(G882,'3-Productie normen'!A:K,VLOOKUP(S882,'3-Productie normen'!L:N,3,FALSE),FALSE)))</f>
        <v>0</v>
      </c>
      <c r="V882" s="162">
        <f>VLOOKUP(G882,'3-Productie normen'!A:K,10,FALSE)</f>
        <v>137.96000057220459</v>
      </c>
      <c r="W882" s="163">
        <f>VLOOKUP(G882,'3-Productie normen'!A:K,11,FALSE)</f>
        <v>0</v>
      </c>
      <c r="X882" s="163"/>
      <c r="Z882" s="129">
        <f t="shared" si="69"/>
        <v>0</v>
      </c>
    </row>
    <row r="883" spans="1:26" ht="14.1" customHeight="1">
      <c r="A883" s="144">
        <v>921</v>
      </c>
      <c r="B883" s="485" t="s">
        <v>246</v>
      </c>
      <c r="C883" s="160" t="s">
        <v>708</v>
      </c>
      <c r="D883" s="657" t="s">
        <v>98</v>
      </c>
      <c r="E883" s="716" t="s">
        <v>311</v>
      </c>
      <c r="F883" s="659" t="s">
        <v>766</v>
      </c>
      <c r="G883" s="659" t="s">
        <v>862</v>
      </c>
      <c r="H883" s="659" t="s">
        <v>1058</v>
      </c>
      <c r="I883" s="660" t="str">
        <f>VLOOKUP(H883,'9a-Typen vloeren'!$A$10:$B$40,2,FALSE)</f>
        <v>Sproei/extraheren</v>
      </c>
      <c r="J883" s="661">
        <v>13.25</v>
      </c>
      <c r="K883" s="433">
        <f t="shared" si="70"/>
        <v>0</v>
      </c>
      <c r="L883" s="433">
        <f t="shared" si="71"/>
        <v>0</v>
      </c>
      <c r="M883" s="433">
        <f t="shared" si="72"/>
        <v>13.25</v>
      </c>
      <c r="N883" s="672"/>
      <c r="O883" s="729">
        <f>IF(N883="",0,N883*K883/'9b-Vloeronderhoud'!$F$4)</f>
        <v>0</v>
      </c>
      <c r="P883" s="672"/>
      <c r="Q883" s="729" t="e">
        <f>IF(O883="",0,P883*L883/'9b-Vloeronderhoud'!$F$6)</f>
        <v>#DIV/0!</v>
      </c>
      <c r="R883" s="449">
        <v>1</v>
      </c>
      <c r="S883" s="672">
        <v>120</v>
      </c>
      <c r="T883" s="161" t="e">
        <f t="shared" si="68"/>
        <v>#DIV/0!</v>
      </c>
      <c r="U883" s="162">
        <f>IF(S883="nio",0,IF(S883&gt;0,VLOOKUP(G883,'3-Productie normen'!A:K,VLOOKUP(S883,'3-Productie normen'!L:N,3,FALSE),FALSE)))</f>
        <v>0</v>
      </c>
      <c r="V883" s="162">
        <f>VLOOKUP(G883,'3-Productie normen'!A:K,10,FALSE)</f>
        <v>4374.9900215911857</v>
      </c>
      <c r="W883" s="163">
        <f>VLOOKUP(G883,'3-Productie normen'!A:K,11,FALSE)</f>
        <v>0</v>
      </c>
      <c r="X883" s="163"/>
      <c r="Z883" s="129">
        <f t="shared" si="69"/>
        <v>1590</v>
      </c>
    </row>
    <row r="884" spans="1:26" ht="14.1" customHeight="1">
      <c r="A884" s="144">
        <v>922</v>
      </c>
      <c r="B884" s="485" t="s">
        <v>246</v>
      </c>
      <c r="C884" s="160" t="s">
        <v>708</v>
      </c>
      <c r="D884" s="657" t="s">
        <v>98</v>
      </c>
      <c r="E884" s="716" t="s">
        <v>312</v>
      </c>
      <c r="F884" s="659" t="s">
        <v>404</v>
      </c>
      <c r="G884" s="659" t="s">
        <v>286</v>
      </c>
      <c r="H884" s="659" t="s">
        <v>1058</v>
      </c>
      <c r="I884" s="660" t="str">
        <f>VLOOKUP(H884,'9a-Typen vloeren'!$A$10:$B$40,2,FALSE)</f>
        <v>Sproei/extraheren</v>
      </c>
      <c r="J884" s="661">
        <v>24.4</v>
      </c>
      <c r="K884" s="433">
        <f t="shared" ref="K884:K910" si="73">IF(G884="niet in onderhoud",0,IF(I884="sprayen/ conserveren",J884,0))</f>
        <v>0</v>
      </c>
      <c r="L884" s="433">
        <f t="shared" ref="L884:L910" si="74">IF(G884="niet in onderhoud",0,IF(I884="schrobben",J884,0))</f>
        <v>0</v>
      </c>
      <c r="M884" s="433">
        <f t="shared" ref="M884:M910" si="75">IF(G884="niet in onderhoud",0,IF(I884="Sproei/extraheren",J884,0))</f>
        <v>24.4</v>
      </c>
      <c r="N884" s="672"/>
      <c r="O884" s="729">
        <f>IF(N884="",0,N884*K884/'9b-Vloeronderhoud'!$F$4)</f>
        <v>0</v>
      </c>
      <c r="P884" s="672"/>
      <c r="Q884" s="729" t="e">
        <f>IF(O884="",0,P884*L884/'9b-Vloeronderhoud'!$F$6)</f>
        <v>#DIV/0!</v>
      </c>
      <c r="R884" s="449">
        <v>1</v>
      </c>
      <c r="S884" s="672">
        <v>120</v>
      </c>
      <c r="T884" s="161" t="e">
        <f t="shared" si="68"/>
        <v>#DIV/0!</v>
      </c>
      <c r="U884" s="162">
        <f>IF(S884="nio",0,IF(S884&gt;0,VLOOKUP(G884,'3-Productie normen'!A:K,VLOOKUP(S884,'3-Productie normen'!L:N,3,FALSE),FALSE)))</f>
        <v>0</v>
      </c>
      <c r="V884" s="162">
        <f>VLOOKUP(G884,'3-Productie normen'!A:K,10,FALSE)</f>
        <v>6152.9500017547598</v>
      </c>
      <c r="W884" s="163">
        <f>VLOOKUP(G884,'3-Productie normen'!A:K,11,FALSE)</f>
        <v>0</v>
      </c>
      <c r="X884" s="163"/>
      <c r="Z884" s="129">
        <f t="shared" si="69"/>
        <v>2928</v>
      </c>
    </row>
    <row r="885" spans="1:26" ht="14.1" customHeight="1">
      <c r="A885" s="144">
        <v>923</v>
      </c>
      <c r="B885" s="485" t="s">
        <v>246</v>
      </c>
      <c r="C885" s="160" t="s">
        <v>708</v>
      </c>
      <c r="D885" s="657" t="s">
        <v>98</v>
      </c>
      <c r="E885" s="716" t="s">
        <v>314</v>
      </c>
      <c r="F885" s="659" t="s">
        <v>1102</v>
      </c>
      <c r="G885" s="659" t="s">
        <v>221</v>
      </c>
      <c r="H885" s="659" t="s">
        <v>100</v>
      </c>
      <c r="I885" s="660" t="str">
        <f>VLOOKUP(H885,'9a-Typen vloeren'!$A$10:$B$40,2,FALSE)</f>
        <v>Sprayen/ conserveren</v>
      </c>
      <c r="J885" s="661">
        <v>51.8</v>
      </c>
      <c r="K885" s="433">
        <f t="shared" si="73"/>
        <v>51.8</v>
      </c>
      <c r="L885" s="433">
        <f t="shared" si="74"/>
        <v>0</v>
      </c>
      <c r="M885" s="433">
        <f t="shared" si="75"/>
        <v>0</v>
      </c>
      <c r="N885" s="672"/>
      <c r="O885" s="729">
        <f>IF(N885="",0,N885*K885/'9b-Vloeronderhoud'!$F$4)</f>
        <v>0</v>
      </c>
      <c r="P885" s="672"/>
      <c r="Q885" s="729" t="e">
        <f>IF(O885="",0,P885*L885/'9b-Vloeronderhoud'!$F$6)</f>
        <v>#DIV/0!</v>
      </c>
      <c r="R885" s="449">
        <v>1</v>
      </c>
      <c r="S885" s="672">
        <v>80</v>
      </c>
      <c r="T885" s="161" t="e">
        <f t="shared" si="68"/>
        <v>#DIV/0!</v>
      </c>
      <c r="U885" s="162">
        <f>IF(S885="nio",0,IF(S885&gt;0,VLOOKUP(G885,'3-Productie normen'!A:K,VLOOKUP(S885,'3-Productie normen'!L:N,3,FALSE),FALSE)))</f>
        <v>0</v>
      </c>
      <c r="V885" s="162">
        <f>VLOOKUP(G885,'3-Productie normen'!A:K,10,FALSE)</f>
        <v>16013.110036668773</v>
      </c>
      <c r="W885" s="163">
        <f>VLOOKUP(G885,'3-Productie normen'!A:K,11,FALSE)</f>
        <v>0</v>
      </c>
      <c r="X885" s="163"/>
      <c r="Z885" s="129">
        <f t="shared" si="69"/>
        <v>4144</v>
      </c>
    </row>
    <row r="886" spans="1:26" ht="14.1" customHeight="1">
      <c r="A886" s="144">
        <v>924</v>
      </c>
      <c r="B886" s="485" t="s">
        <v>246</v>
      </c>
      <c r="C886" s="160" t="s">
        <v>708</v>
      </c>
      <c r="D886" s="657" t="s">
        <v>98</v>
      </c>
      <c r="E886" s="716" t="s">
        <v>315</v>
      </c>
      <c r="F886" s="659" t="s">
        <v>1103</v>
      </c>
      <c r="G886" s="659" t="s">
        <v>221</v>
      </c>
      <c r="H886" s="659" t="s">
        <v>100</v>
      </c>
      <c r="I886" s="660" t="str">
        <f>VLOOKUP(H886,'9a-Typen vloeren'!$A$10:$B$40,2,FALSE)</f>
        <v>Sprayen/ conserveren</v>
      </c>
      <c r="J886" s="661">
        <v>51.8</v>
      </c>
      <c r="K886" s="433">
        <f t="shared" si="73"/>
        <v>51.8</v>
      </c>
      <c r="L886" s="433">
        <f t="shared" si="74"/>
        <v>0</v>
      </c>
      <c r="M886" s="433">
        <f t="shared" si="75"/>
        <v>0</v>
      </c>
      <c r="N886" s="672"/>
      <c r="O886" s="729">
        <f>IF(N886="",0,N886*K886/'9b-Vloeronderhoud'!$F$4)</f>
        <v>0</v>
      </c>
      <c r="P886" s="672"/>
      <c r="Q886" s="729" t="e">
        <f>IF(O886="",0,P886*L886/'9b-Vloeronderhoud'!$F$6)</f>
        <v>#DIV/0!</v>
      </c>
      <c r="R886" s="449">
        <v>1</v>
      </c>
      <c r="S886" s="672">
        <v>80</v>
      </c>
      <c r="T886" s="161" t="e">
        <f t="shared" si="68"/>
        <v>#DIV/0!</v>
      </c>
      <c r="U886" s="162">
        <f>IF(S886="nio",0,IF(S886&gt;0,VLOOKUP(G886,'3-Productie normen'!A:K,VLOOKUP(S886,'3-Productie normen'!L:N,3,FALSE),FALSE)))</f>
        <v>0</v>
      </c>
      <c r="V886" s="162">
        <f>VLOOKUP(G886,'3-Productie normen'!A:K,10,FALSE)</f>
        <v>16013.110036668773</v>
      </c>
      <c r="W886" s="163">
        <f>VLOOKUP(G886,'3-Productie normen'!A:K,11,FALSE)</f>
        <v>0</v>
      </c>
      <c r="X886" s="163"/>
      <c r="Z886" s="129">
        <f t="shared" si="69"/>
        <v>4144</v>
      </c>
    </row>
    <row r="887" spans="1:26" ht="14.1" customHeight="1">
      <c r="A887" s="144">
        <v>925</v>
      </c>
      <c r="B887" s="485" t="s">
        <v>246</v>
      </c>
      <c r="C887" s="160" t="s">
        <v>708</v>
      </c>
      <c r="D887" s="657" t="s">
        <v>98</v>
      </c>
      <c r="E887" s="716" t="s">
        <v>317</v>
      </c>
      <c r="F887" s="659" t="s">
        <v>1104</v>
      </c>
      <c r="G887" s="659" t="s">
        <v>221</v>
      </c>
      <c r="H887" s="659" t="s">
        <v>100</v>
      </c>
      <c r="I887" s="660" t="str">
        <f>VLOOKUP(H887,'9a-Typen vloeren'!$A$10:$B$40,2,FALSE)</f>
        <v>Sprayen/ conserveren</v>
      </c>
      <c r="J887" s="661">
        <v>65.7</v>
      </c>
      <c r="K887" s="433">
        <f t="shared" si="73"/>
        <v>65.7</v>
      </c>
      <c r="L887" s="433">
        <f t="shared" si="74"/>
        <v>0</v>
      </c>
      <c r="M887" s="433">
        <f t="shared" si="75"/>
        <v>0</v>
      </c>
      <c r="N887" s="672"/>
      <c r="O887" s="729">
        <f>IF(N887="",0,N887*K887/'9b-Vloeronderhoud'!$F$4)</f>
        <v>0</v>
      </c>
      <c r="P887" s="672"/>
      <c r="Q887" s="729" t="e">
        <f>IF(O887="",0,P887*L887/'9b-Vloeronderhoud'!$F$6)</f>
        <v>#DIV/0!</v>
      </c>
      <c r="R887" s="449">
        <v>1</v>
      </c>
      <c r="S887" s="672">
        <v>80</v>
      </c>
      <c r="T887" s="161" t="e">
        <f t="shared" si="68"/>
        <v>#DIV/0!</v>
      </c>
      <c r="U887" s="162">
        <f>IF(S887="nio",0,IF(S887&gt;0,VLOOKUP(G887,'3-Productie normen'!A:K,VLOOKUP(S887,'3-Productie normen'!L:N,3,FALSE),FALSE)))</f>
        <v>0</v>
      </c>
      <c r="V887" s="162">
        <f>VLOOKUP(G887,'3-Productie normen'!A:K,10,FALSE)</f>
        <v>16013.110036668773</v>
      </c>
      <c r="W887" s="163">
        <f>VLOOKUP(G887,'3-Productie normen'!A:K,11,FALSE)</f>
        <v>0</v>
      </c>
      <c r="X887" s="163"/>
      <c r="Z887" s="129">
        <f t="shared" si="69"/>
        <v>5256</v>
      </c>
    </row>
    <row r="888" spans="1:26" ht="14.1" customHeight="1">
      <c r="A888" s="144">
        <v>926</v>
      </c>
      <c r="B888" s="485" t="s">
        <v>246</v>
      </c>
      <c r="C888" s="160" t="s">
        <v>708</v>
      </c>
      <c r="D888" s="657" t="s">
        <v>98</v>
      </c>
      <c r="E888" s="716" t="s">
        <v>318</v>
      </c>
      <c r="F888" s="659" t="s">
        <v>480</v>
      </c>
      <c r="G888" s="659" t="s">
        <v>480</v>
      </c>
      <c r="H888" s="659" t="s">
        <v>931</v>
      </c>
      <c r="I888" s="660" t="str">
        <f>VLOOKUP(H888,'9a-Typen vloeren'!$A$10:$B$40,2,FALSE)</f>
        <v>Schrobben</v>
      </c>
      <c r="J888" s="661">
        <v>1.75</v>
      </c>
      <c r="K888" s="433">
        <f t="shared" si="73"/>
        <v>0</v>
      </c>
      <c r="L888" s="433">
        <f t="shared" si="74"/>
        <v>1.75</v>
      </c>
      <c r="M888" s="433">
        <f t="shared" si="75"/>
        <v>0</v>
      </c>
      <c r="N888" s="672"/>
      <c r="O888" s="729">
        <f>IF(N888="",0,N888*K888/'9b-Vloeronderhoud'!$F$4)</f>
        <v>0</v>
      </c>
      <c r="P888" s="672"/>
      <c r="Q888" s="729" t="e">
        <f>IF(O888="",0,P888*L888/'9b-Vloeronderhoud'!$F$6)</f>
        <v>#DIV/0!</v>
      </c>
      <c r="R888" s="449">
        <v>1</v>
      </c>
      <c r="S888" s="672">
        <v>40</v>
      </c>
      <c r="T888" s="161" t="e">
        <f t="shared" si="68"/>
        <v>#DIV/0!</v>
      </c>
      <c r="U888" s="162">
        <f>IF(S888="nio",0,IF(S888&gt;0,VLOOKUP(G888,'3-Productie normen'!A:K,VLOOKUP(S888,'3-Productie normen'!L:N,3,FALSE),FALSE)))</f>
        <v>0</v>
      </c>
      <c r="V888" s="162">
        <f>VLOOKUP(G888,'3-Productie normen'!A:K,10,FALSE)</f>
        <v>31.690000023841854</v>
      </c>
      <c r="W888" s="163">
        <f>VLOOKUP(G888,'3-Productie normen'!A:K,11,FALSE)</f>
        <v>0</v>
      </c>
      <c r="X888" s="163"/>
      <c r="Z888" s="129">
        <f t="shared" si="69"/>
        <v>70</v>
      </c>
    </row>
    <row r="889" spans="1:26" ht="14.1" customHeight="1">
      <c r="A889" s="144">
        <v>927</v>
      </c>
      <c r="B889" s="485" t="s">
        <v>246</v>
      </c>
      <c r="C889" s="160" t="s">
        <v>708</v>
      </c>
      <c r="D889" s="657" t="s">
        <v>98</v>
      </c>
      <c r="E889" s="716" t="s">
        <v>319</v>
      </c>
      <c r="F889" s="659" t="s">
        <v>1105</v>
      </c>
      <c r="G889" s="659" t="s">
        <v>861</v>
      </c>
      <c r="H889" s="659" t="s">
        <v>100</v>
      </c>
      <c r="I889" s="660" t="str">
        <f>VLOOKUP(H889,'9a-Typen vloeren'!$A$10:$B$40,2,FALSE)</f>
        <v>Sprayen/ conserveren</v>
      </c>
      <c r="J889" s="661">
        <v>2.8</v>
      </c>
      <c r="K889" s="433">
        <f t="shared" si="73"/>
        <v>2.8</v>
      </c>
      <c r="L889" s="433">
        <f t="shared" si="74"/>
        <v>0</v>
      </c>
      <c r="M889" s="433">
        <f t="shared" si="75"/>
        <v>0</v>
      </c>
      <c r="N889" s="672"/>
      <c r="O889" s="729">
        <f>IF(N889="",0,N889*K889/'9b-Vloeronderhoud'!$F$4)</f>
        <v>0</v>
      </c>
      <c r="P889" s="672"/>
      <c r="Q889" s="729" t="e">
        <f>IF(O889="",0,P889*L889/'9b-Vloeronderhoud'!$F$6)</f>
        <v>#DIV/0!</v>
      </c>
      <c r="R889" s="449">
        <v>1</v>
      </c>
      <c r="S889" s="676" t="s">
        <v>179</v>
      </c>
      <c r="T889" s="161">
        <f t="shared" si="68"/>
        <v>0</v>
      </c>
      <c r="U889" s="162">
        <f>IF(S889="nio",0,IF(S889&gt;0,VLOOKUP(G889,'3-Productie normen'!A:K,VLOOKUP(S889,'3-Productie normen'!L:N,3,FALSE),FALSE)))</f>
        <v>0</v>
      </c>
      <c r="V889" s="162">
        <f>VLOOKUP(G889,'3-Productie normen'!A:K,10,FALSE)</f>
        <v>137.96000057220459</v>
      </c>
      <c r="W889" s="163">
        <f>VLOOKUP(G889,'3-Productie normen'!A:K,11,FALSE)</f>
        <v>0</v>
      </c>
      <c r="X889" s="163"/>
      <c r="Z889" s="129">
        <f t="shared" si="69"/>
        <v>0</v>
      </c>
    </row>
    <row r="890" spans="1:26" ht="14.1" customHeight="1">
      <c r="A890" s="144">
        <v>928</v>
      </c>
      <c r="B890" s="485" t="s">
        <v>246</v>
      </c>
      <c r="C890" s="160" t="s">
        <v>708</v>
      </c>
      <c r="D890" s="657" t="s">
        <v>98</v>
      </c>
      <c r="E890" s="716" t="s">
        <v>320</v>
      </c>
      <c r="F890" s="659" t="s">
        <v>1105</v>
      </c>
      <c r="G890" s="659" t="s">
        <v>861</v>
      </c>
      <c r="H890" s="659" t="s">
        <v>100</v>
      </c>
      <c r="I890" s="660" t="str">
        <f>VLOOKUP(H890,'9a-Typen vloeren'!$A$10:$B$40,2,FALSE)</f>
        <v>Sprayen/ conserveren</v>
      </c>
      <c r="J890" s="661">
        <v>1.95</v>
      </c>
      <c r="K890" s="433">
        <f t="shared" si="73"/>
        <v>1.95</v>
      </c>
      <c r="L890" s="433">
        <f t="shared" si="74"/>
        <v>0</v>
      </c>
      <c r="M890" s="433">
        <f t="shared" si="75"/>
        <v>0</v>
      </c>
      <c r="N890" s="672"/>
      <c r="O890" s="729">
        <f>IF(N890="",0,N890*K890/'9b-Vloeronderhoud'!$F$4)</f>
        <v>0</v>
      </c>
      <c r="P890" s="672"/>
      <c r="Q890" s="729" t="e">
        <f>IF(O890="",0,P890*L890/'9b-Vloeronderhoud'!$F$6)</f>
        <v>#DIV/0!</v>
      </c>
      <c r="R890" s="449">
        <v>1</v>
      </c>
      <c r="S890" s="676" t="s">
        <v>179</v>
      </c>
      <c r="T890" s="161">
        <f t="shared" si="68"/>
        <v>0</v>
      </c>
      <c r="U890" s="162">
        <f>IF(S890="nio",0,IF(S890&gt;0,VLOOKUP(G890,'3-Productie normen'!A:K,VLOOKUP(S890,'3-Productie normen'!L:N,3,FALSE),FALSE)))</f>
        <v>0</v>
      </c>
      <c r="V890" s="162">
        <f>VLOOKUP(G890,'3-Productie normen'!A:K,10,FALSE)</f>
        <v>137.96000057220459</v>
      </c>
      <c r="W890" s="163">
        <f>VLOOKUP(G890,'3-Productie normen'!A:K,11,FALSE)</f>
        <v>0</v>
      </c>
      <c r="X890" s="163"/>
      <c r="Z890" s="129">
        <f t="shared" si="69"/>
        <v>0</v>
      </c>
    </row>
    <row r="891" spans="1:26" ht="14.1" customHeight="1">
      <c r="A891" s="144">
        <v>929</v>
      </c>
      <c r="B891" s="485" t="s">
        <v>246</v>
      </c>
      <c r="C891" s="160" t="s">
        <v>708</v>
      </c>
      <c r="D891" s="657" t="s">
        <v>98</v>
      </c>
      <c r="E891" s="716" t="s">
        <v>321</v>
      </c>
      <c r="F891" s="659" t="s">
        <v>272</v>
      </c>
      <c r="G891" s="659" t="s">
        <v>861</v>
      </c>
      <c r="H891" s="659" t="s">
        <v>100</v>
      </c>
      <c r="I891" s="660" t="str">
        <f>VLOOKUP(H891,'9a-Typen vloeren'!$A$10:$B$40,2,FALSE)</f>
        <v>Sprayen/ conserveren</v>
      </c>
      <c r="J891" s="661">
        <v>4.5999999999999996</v>
      </c>
      <c r="K891" s="433">
        <f t="shared" si="73"/>
        <v>4.5999999999999996</v>
      </c>
      <c r="L891" s="433">
        <f t="shared" si="74"/>
        <v>0</v>
      </c>
      <c r="M891" s="433">
        <f t="shared" si="75"/>
        <v>0</v>
      </c>
      <c r="N891" s="672"/>
      <c r="O891" s="729">
        <f>IF(N891="",0,N891*K891/'9b-Vloeronderhoud'!$F$4)</f>
        <v>0</v>
      </c>
      <c r="P891" s="672"/>
      <c r="Q891" s="729" t="e">
        <f>IF(O891="",0,P891*L891/'9b-Vloeronderhoud'!$F$6)</f>
        <v>#DIV/0!</v>
      </c>
      <c r="R891" s="449">
        <v>1</v>
      </c>
      <c r="S891" s="676" t="s">
        <v>179</v>
      </c>
      <c r="T891" s="161">
        <f t="shared" si="68"/>
        <v>0</v>
      </c>
      <c r="U891" s="162">
        <f>IF(S891="nio",0,IF(S891&gt;0,VLOOKUP(G891,'3-Productie normen'!A:K,VLOOKUP(S891,'3-Productie normen'!L:N,3,FALSE),FALSE)))</f>
        <v>0</v>
      </c>
      <c r="V891" s="162">
        <f>VLOOKUP(G891,'3-Productie normen'!A:K,10,FALSE)</f>
        <v>137.96000057220459</v>
      </c>
      <c r="W891" s="163">
        <f>VLOOKUP(G891,'3-Productie normen'!A:K,11,FALSE)</f>
        <v>0</v>
      </c>
      <c r="X891" s="163"/>
      <c r="Z891" s="129">
        <f t="shared" si="69"/>
        <v>0</v>
      </c>
    </row>
    <row r="892" spans="1:26" ht="14.1" customHeight="1">
      <c r="A892" s="144">
        <v>930</v>
      </c>
      <c r="B892" s="485" t="s">
        <v>246</v>
      </c>
      <c r="C892" s="160" t="s">
        <v>708</v>
      </c>
      <c r="D892" s="657" t="s">
        <v>98</v>
      </c>
      <c r="E892" s="716" t="s">
        <v>323</v>
      </c>
      <c r="F892" s="659" t="s">
        <v>1106</v>
      </c>
      <c r="G892" s="659" t="s">
        <v>221</v>
      </c>
      <c r="H892" s="659" t="s">
        <v>100</v>
      </c>
      <c r="I892" s="660" t="str">
        <f>VLOOKUP(H892,'9a-Typen vloeren'!$A$10:$B$40,2,FALSE)</f>
        <v>Sprayen/ conserveren</v>
      </c>
      <c r="J892" s="661">
        <v>66.8</v>
      </c>
      <c r="K892" s="433">
        <f t="shared" si="73"/>
        <v>66.8</v>
      </c>
      <c r="L892" s="433">
        <f t="shared" si="74"/>
        <v>0</v>
      </c>
      <c r="M892" s="433">
        <f t="shared" si="75"/>
        <v>0</v>
      </c>
      <c r="N892" s="672"/>
      <c r="O892" s="729">
        <f>IF(N892="",0,N892*K892/'9b-Vloeronderhoud'!$F$4)</f>
        <v>0</v>
      </c>
      <c r="P892" s="672"/>
      <c r="Q892" s="729" t="e">
        <f>IF(O892="",0,P892*L892/'9b-Vloeronderhoud'!$F$6)</f>
        <v>#DIV/0!</v>
      </c>
      <c r="R892" s="449">
        <v>1</v>
      </c>
      <c r="S892" s="672">
        <v>80</v>
      </c>
      <c r="T892" s="161" t="e">
        <f t="shared" si="68"/>
        <v>#DIV/0!</v>
      </c>
      <c r="U892" s="162">
        <f>IF(S892="nio",0,IF(S892&gt;0,VLOOKUP(G892,'3-Productie normen'!A:K,VLOOKUP(S892,'3-Productie normen'!L:N,3,FALSE),FALSE)))</f>
        <v>0</v>
      </c>
      <c r="V892" s="162">
        <f>VLOOKUP(G892,'3-Productie normen'!A:K,10,FALSE)</f>
        <v>16013.110036668773</v>
      </c>
      <c r="W892" s="163">
        <f>VLOOKUP(G892,'3-Productie normen'!A:K,11,FALSE)</f>
        <v>0</v>
      </c>
      <c r="X892" s="163"/>
      <c r="Z892" s="129">
        <f t="shared" si="69"/>
        <v>5344</v>
      </c>
    </row>
    <row r="893" spans="1:26" ht="14.1" customHeight="1">
      <c r="A893" s="144">
        <v>931</v>
      </c>
      <c r="B893" s="485" t="s">
        <v>246</v>
      </c>
      <c r="C893" s="160" t="s">
        <v>708</v>
      </c>
      <c r="D893" s="657" t="s">
        <v>98</v>
      </c>
      <c r="E893" s="716" t="s">
        <v>325</v>
      </c>
      <c r="F893" s="659" t="s">
        <v>766</v>
      </c>
      <c r="G893" s="659" t="s">
        <v>862</v>
      </c>
      <c r="H893" s="659" t="s">
        <v>1058</v>
      </c>
      <c r="I893" s="660" t="str">
        <f>VLOOKUP(H893,'9a-Typen vloeren'!$A$10:$B$40,2,FALSE)</f>
        <v>Sproei/extraheren</v>
      </c>
      <c r="J893" s="661">
        <v>49.6</v>
      </c>
      <c r="K893" s="433">
        <f t="shared" si="73"/>
        <v>0</v>
      </c>
      <c r="L893" s="433">
        <f t="shared" si="74"/>
        <v>0</v>
      </c>
      <c r="M893" s="433">
        <f t="shared" si="75"/>
        <v>49.6</v>
      </c>
      <c r="N893" s="672"/>
      <c r="O893" s="729">
        <f>IF(N893="",0,N893*K893/'9b-Vloeronderhoud'!$F$4)</f>
        <v>0</v>
      </c>
      <c r="P893" s="672"/>
      <c r="Q893" s="729" t="e">
        <f>IF(O893="",0,P893*L893/'9b-Vloeronderhoud'!$F$6)</f>
        <v>#DIV/0!</v>
      </c>
      <c r="R893" s="449">
        <v>1</v>
      </c>
      <c r="S893" s="672">
        <v>120</v>
      </c>
      <c r="T893" s="161" t="e">
        <f t="shared" si="68"/>
        <v>#DIV/0!</v>
      </c>
      <c r="U893" s="162">
        <f>IF(S893="nio",0,IF(S893&gt;0,VLOOKUP(G893,'3-Productie normen'!A:K,VLOOKUP(S893,'3-Productie normen'!L:N,3,FALSE),FALSE)))</f>
        <v>0</v>
      </c>
      <c r="V893" s="162">
        <f>VLOOKUP(G893,'3-Productie normen'!A:K,10,FALSE)</f>
        <v>4374.9900215911857</v>
      </c>
      <c r="W893" s="163">
        <f>VLOOKUP(G893,'3-Productie normen'!A:K,11,FALSE)</f>
        <v>0</v>
      </c>
      <c r="X893" s="163"/>
      <c r="Z893" s="129">
        <f t="shared" si="69"/>
        <v>5952</v>
      </c>
    </row>
    <row r="894" spans="1:26" ht="14.1" customHeight="1">
      <c r="A894" s="144">
        <v>932</v>
      </c>
      <c r="B894" s="485" t="s">
        <v>246</v>
      </c>
      <c r="C894" s="160" t="s">
        <v>708</v>
      </c>
      <c r="D894" s="657" t="s">
        <v>98</v>
      </c>
      <c r="E894" s="716" t="s">
        <v>326</v>
      </c>
      <c r="F894" s="659" t="s">
        <v>763</v>
      </c>
      <c r="G894" s="659" t="s">
        <v>221</v>
      </c>
      <c r="H894" s="659" t="s">
        <v>100</v>
      </c>
      <c r="I894" s="660" t="str">
        <f>VLOOKUP(H894,'9a-Typen vloeren'!$A$10:$B$40,2,FALSE)</f>
        <v>Sprayen/ conserveren</v>
      </c>
      <c r="J894" s="661">
        <v>79.099999999999994</v>
      </c>
      <c r="K894" s="433">
        <f t="shared" si="73"/>
        <v>79.099999999999994</v>
      </c>
      <c r="L894" s="433">
        <f t="shared" si="74"/>
        <v>0</v>
      </c>
      <c r="M894" s="433">
        <f t="shared" si="75"/>
        <v>0</v>
      </c>
      <c r="N894" s="672"/>
      <c r="O894" s="729">
        <f>IF(N894="",0,N894*K894/'9b-Vloeronderhoud'!$F$4)</f>
        <v>0</v>
      </c>
      <c r="P894" s="672"/>
      <c r="Q894" s="729" t="e">
        <f>IF(O894="",0,P894*L894/'9b-Vloeronderhoud'!$F$6)</f>
        <v>#DIV/0!</v>
      </c>
      <c r="R894" s="449">
        <v>1</v>
      </c>
      <c r="S894" s="672">
        <v>80</v>
      </c>
      <c r="T894" s="161" t="e">
        <f t="shared" si="68"/>
        <v>#DIV/0!</v>
      </c>
      <c r="U894" s="162">
        <f>IF(S894="nio",0,IF(S894&gt;0,VLOOKUP(G894,'3-Productie normen'!A:K,VLOOKUP(S894,'3-Productie normen'!L:N,3,FALSE),FALSE)))</f>
        <v>0</v>
      </c>
      <c r="V894" s="162">
        <f>VLOOKUP(G894,'3-Productie normen'!A:K,10,FALSE)</f>
        <v>16013.110036668773</v>
      </c>
      <c r="W894" s="163">
        <f>VLOOKUP(G894,'3-Productie normen'!A:K,11,FALSE)</f>
        <v>0</v>
      </c>
      <c r="X894" s="163"/>
      <c r="Z894" s="129">
        <f t="shared" si="69"/>
        <v>6328</v>
      </c>
    </row>
    <row r="895" spans="1:26" ht="14.1" customHeight="1">
      <c r="A895" s="144">
        <v>933</v>
      </c>
      <c r="B895" s="485" t="s">
        <v>246</v>
      </c>
      <c r="C895" s="160" t="s">
        <v>708</v>
      </c>
      <c r="D895" s="657" t="s">
        <v>98</v>
      </c>
      <c r="E895" s="716" t="s">
        <v>328</v>
      </c>
      <c r="F895" s="659" t="s">
        <v>1107</v>
      </c>
      <c r="G895" s="659" t="s">
        <v>861</v>
      </c>
      <c r="H895" s="659" t="s">
        <v>100</v>
      </c>
      <c r="I895" s="660" t="str">
        <f>VLOOKUP(H895,'9a-Typen vloeren'!$A$10:$B$40,2,FALSE)</f>
        <v>Sprayen/ conserveren</v>
      </c>
      <c r="J895" s="661">
        <v>8.8000000000000007</v>
      </c>
      <c r="K895" s="433">
        <f t="shared" si="73"/>
        <v>8.8000000000000007</v>
      </c>
      <c r="L895" s="433">
        <f t="shared" si="74"/>
        <v>0</v>
      </c>
      <c r="M895" s="433">
        <f t="shared" si="75"/>
        <v>0</v>
      </c>
      <c r="N895" s="672"/>
      <c r="O895" s="729">
        <f>IF(N895="",0,N895*K895/'9b-Vloeronderhoud'!$F$4)</f>
        <v>0</v>
      </c>
      <c r="P895" s="672"/>
      <c r="Q895" s="729" t="e">
        <f>IF(O895="",0,P895*L895/'9b-Vloeronderhoud'!$F$6)</f>
        <v>#DIV/0!</v>
      </c>
      <c r="R895" s="449">
        <v>1</v>
      </c>
      <c r="S895" s="676" t="s">
        <v>179</v>
      </c>
      <c r="T895" s="161">
        <f t="shared" si="68"/>
        <v>0</v>
      </c>
      <c r="U895" s="162">
        <f>IF(S895="nio",0,IF(S895&gt;0,VLOOKUP(G895,'3-Productie normen'!A:K,VLOOKUP(S895,'3-Productie normen'!L:N,3,FALSE),FALSE)))</f>
        <v>0</v>
      </c>
      <c r="V895" s="162">
        <f>VLOOKUP(G895,'3-Productie normen'!A:K,10,FALSE)</f>
        <v>137.96000057220459</v>
      </c>
      <c r="W895" s="163">
        <f>VLOOKUP(G895,'3-Productie normen'!A:K,11,FALSE)</f>
        <v>0</v>
      </c>
      <c r="X895" s="163"/>
      <c r="Z895" s="129">
        <f t="shared" si="69"/>
        <v>0</v>
      </c>
    </row>
    <row r="896" spans="1:26" ht="14.1" customHeight="1">
      <c r="A896" s="144">
        <v>934</v>
      </c>
      <c r="B896" s="485" t="s">
        <v>246</v>
      </c>
      <c r="C896" s="160" t="s">
        <v>708</v>
      </c>
      <c r="D896" s="657" t="s">
        <v>98</v>
      </c>
      <c r="E896" s="716" t="s">
        <v>329</v>
      </c>
      <c r="F896" s="659" t="s">
        <v>267</v>
      </c>
      <c r="G896" s="659" t="s">
        <v>18</v>
      </c>
      <c r="H896" s="659" t="s">
        <v>100</v>
      </c>
      <c r="I896" s="660" t="str">
        <f>VLOOKUP(H896,'9a-Typen vloeren'!$A$10:$B$40,2,FALSE)</f>
        <v>Sprayen/ conserveren</v>
      </c>
      <c r="J896" s="661">
        <v>4.7</v>
      </c>
      <c r="K896" s="433">
        <f t="shared" si="73"/>
        <v>4.7</v>
      </c>
      <c r="L896" s="433">
        <f t="shared" si="74"/>
        <v>0</v>
      </c>
      <c r="M896" s="433">
        <f t="shared" si="75"/>
        <v>0</v>
      </c>
      <c r="N896" s="672"/>
      <c r="O896" s="729">
        <f>IF(N896="",0,N896*K896/'9b-Vloeronderhoud'!$F$4)</f>
        <v>0</v>
      </c>
      <c r="P896" s="672"/>
      <c r="Q896" s="729" t="e">
        <f>IF(O896="",0,P896*L896/'9b-Vloeronderhoud'!$F$6)</f>
        <v>#DIV/0!</v>
      </c>
      <c r="R896" s="449">
        <v>1</v>
      </c>
      <c r="S896" s="676">
        <v>190</v>
      </c>
      <c r="T896" s="161" t="e">
        <f t="shared" si="68"/>
        <v>#DIV/0!</v>
      </c>
      <c r="U896" s="162">
        <f>IF(S896="nio",0,IF(S896&gt;0,VLOOKUP(G896,'3-Productie normen'!A:K,VLOOKUP(S896,'3-Productie normen'!L:N,3,FALSE),FALSE)))</f>
        <v>0</v>
      </c>
      <c r="V896" s="162">
        <f>VLOOKUP(G896,'3-Productie normen'!A:K,10,FALSE)</f>
        <v>1859.5880019121171</v>
      </c>
      <c r="W896" s="163">
        <f>VLOOKUP(G896,'3-Productie normen'!A:K,11,FALSE)</f>
        <v>0</v>
      </c>
      <c r="X896" s="163"/>
      <c r="Z896" s="129">
        <f t="shared" si="69"/>
        <v>893</v>
      </c>
    </row>
    <row r="897" spans="1:26" ht="14.1" customHeight="1">
      <c r="A897" s="144">
        <v>935</v>
      </c>
      <c r="B897" s="485" t="s">
        <v>246</v>
      </c>
      <c r="C897" s="160" t="s">
        <v>708</v>
      </c>
      <c r="D897" s="657" t="s">
        <v>98</v>
      </c>
      <c r="E897" s="716" t="s">
        <v>330</v>
      </c>
      <c r="F897" s="659" t="s">
        <v>489</v>
      </c>
      <c r="G897" s="659" t="s">
        <v>99</v>
      </c>
      <c r="H897" s="659" t="s">
        <v>802</v>
      </c>
      <c r="I897" s="660" t="str">
        <f>VLOOKUP(H897,'9a-Typen vloeren'!$A$10:$B$40,2,FALSE)</f>
        <v>n.v.t.</v>
      </c>
      <c r="J897" s="661">
        <v>6</v>
      </c>
      <c r="K897" s="433">
        <f t="shared" si="73"/>
        <v>0</v>
      </c>
      <c r="L897" s="433">
        <f t="shared" si="74"/>
        <v>0</v>
      </c>
      <c r="M897" s="433">
        <f t="shared" si="75"/>
        <v>0</v>
      </c>
      <c r="N897" s="672"/>
      <c r="O897" s="729">
        <f>IF(N897="",0,N897*K897/'9b-Vloeronderhoud'!$F$4)</f>
        <v>0</v>
      </c>
      <c r="P897" s="672"/>
      <c r="Q897" s="729" t="e">
        <f>IF(O897="",0,P897*L897/'9b-Vloeronderhoud'!$F$6)</f>
        <v>#DIV/0!</v>
      </c>
      <c r="R897" s="449">
        <v>1</v>
      </c>
      <c r="S897" s="676">
        <v>190</v>
      </c>
      <c r="T897" s="161" t="e">
        <f t="shared" si="68"/>
        <v>#DIV/0!</v>
      </c>
      <c r="U897" s="162">
        <f>IF(S897="nio",0,IF(S897&gt;0,VLOOKUP(G897,'3-Productie normen'!A:K,VLOOKUP(S897,'3-Productie normen'!L:N,3,FALSE),FALSE)))</f>
        <v>0</v>
      </c>
      <c r="V897" s="162">
        <f>VLOOKUP(G897,'3-Productie normen'!A:K,10,FALSE)</f>
        <v>726.97999910354622</v>
      </c>
      <c r="W897" s="163">
        <f>VLOOKUP(G897,'3-Productie normen'!A:K,11,FALSE)</f>
        <v>0</v>
      </c>
      <c r="X897" s="163"/>
      <c r="Z897" s="129">
        <f t="shared" si="69"/>
        <v>1140</v>
      </c>
    </row>
    <row r="898" spans="1:26" ht="14.1" customHeight="1">
      <c r="A898" s="144">
        <v>936</v>
      </c>
      <c r="B898" s="485" t="s">
        <v>246</v>
      </c>
      <c r="C898" s="160" t="s">
        <v>708</v>
      </c>
      <c r="D898" s="657" t="s">
        <v>98</v>
      </c>
      <c r="E898" s="716" t="s">
        <v>331</v>
      </c>
      <c r="F898" s="659" t="s">
        <v>481</v>
      </c>
      <c r="G898" s="659" t="s">
        <v>287</v>
      </c>
      <c r="H898" s="659" t="s">
        <v>930</v>
      </c>
      <c r="I898" s="660" t="str">
        <f>VLOOKUP(H898,'9a-Typen vloeren'!$A$10:$B$40,2,FALSE)</f>
        <v>n.v.t.</v>
      </c>
      <c r="J898" s="661">
        <v>7.7</v>
      </c>
      <c r="K898" s="433">
        <f t="shared" si="73"/>
        <v>0</v>
      </c>
      <c r="L898" s="433">
        <f t="shared" si="74"/>
        <v>0</v>
      </c>
      <c r="M898" s="433">
        <f t="shared" si="75"/>
        <v>0</v>
      </c>
      <c r="N898" s="672"/>
      <c r="O898" s="729">
        <f>IF(N898="",0,N898*K898/'9b-Vloeronderhoud'!$F$4)</f>
        <v>0</v>
      </c>
      <c r="P898" s="672"/>
      <c r="Q898" s="729" t="e">
        <f>IF(O898="",0,P898*L898/'9b-Vloeronderhoud'!$F$6)</f>
        <v>#DIV/0!</v>
      </c>
      <c r="R898" s="449">
        <v>1</v>
      </c>
      <c r="S898" s="672">
        <v>80</v>
      </c>
      <c r="T898" s="161" t="e">
        <f t="shared" si="68"/>
        <v>#DIV/0!</v>
      </c>
      <c r="U898" s="162">
        <f>IF(S898="nio",0,IF(S898&gt;0,VLOOKUP(G898,'3-Productie normen'!A:K,VLOOKUP(S898,'3-Productie normen'!L:N,3,FALSE),FALSE)))</f>
        <v>0</v>
      </c>
      <c r="V898" s="162">
        <f>VLOOKUP(G898,'3-Productie normen'!A:K,10,FALSE)</f>
        <v>519.460002565384</v>
      </c>
      <c r="W898" s="163">
        <f>VLOOKUP(G898,'3-Productie normen'!A:K,11,FALSE)</f>
        <v>0</v>
      </c>
      <c r="X898" s="163"/>
      <c r="Z898" s="129">
        <f t="shared" si="69"/>
        <v>616</v>
      </c>
    </row>
    <row r="899" spans="1:26" ht="14.1" customHeight="1">
      <c r="A899" s="144">
        <v>937</v>
      </c>
      <c r="B899" s="485" t="s">
        <v>246</v>
      </c>
      <c r="C899" s="160" t="s">
        <v>708</v>
      </c>
      <c r="D899" s="657" t="s">
        <v>98</v>
      </c>
      <c r="E899" s="716" t="s">
        <v>406</v>
      </c>
      <c r="F899" s="659" t="s">
        <v>496</v>
      </c>
      <c r="G899" s="659" t="s">
        <v>190</v>
      </c>
      <c r="H899" s="659" t="s">
        <v>100</v>
      </c>
      <c r="I899" s="660" t="str">
        <f>VLOOKUP(H899,'9a-Typen vloeren'!$A$10:$B$40,2,FALSE)</f>
        <v>Sprayen/ conserveren</v>
      </c>
      <c r="J899" s="661">
        <v>3.9</v>
      </c>
      <c r="K899" s="433">
        <f t="shared" si="73"/>
        <v>3.9</v>
      </c>
      <c r="L899" s="433">
        <f t="shared" si="74"/>
        <v>0</v>
      </c>
      <c r="M899" s="433">
        <f t="shared" si="75"/>
        <v>0</v>
      </c>
      <c r="N899" s="672">
        <v>2</v>
      </c>
      <c r="O899" s="729" t="e">
        <f>IF(N899="",0,N899*K899/'9b-Vloeronderhoud'!$F$4)</f>
        <v>#DIV/0!</v>
      </c>
      <c r="P899" s="672"/>
      <c r="Q899" s="729" t="e">
        <f>IF(O899="",0,P899*L899/'9b-Vloeronderhoud'!$F$6)</f>
        <v>#DIV/0!</v>
      </c>
      <c r="R899" s="449">
        <v>1</v>
      </c>
      <c r="S899" s="672">
        <v>40</v>
      </c>
      <c r="T899" s="161" t="e">
        <f t="shared" si="68"/>
        <v>#DIV/0!</v>
      </c>
      <c r="U899" s="162">
        <f>IF(S899="nio",0,IF(S899&gt;0,VLOOKUP(G899,'3-Productie normen'!A:K,VLOOKUP(S899,'3-Productie normen'!L:N,3,FALSE),FALSE)))</f>
        <v>0</v>
      </c>
      <c r="V899" s="162">
        <f>VLOOKUP(G899,'3-Productie normen'!A:K,10,FALSE)</f>
        <v>281.65000052452086</v>
      </c>
      <c r="W899" s="163">
        <f>VLOOKUP(G899,'3-Productie normen'!A:K,11,FALSE)</f>
        <v>0</v>
      </c>
      <c r="X899" s="163"/>
      <c r="Z899" s="129">
        <f t="shared" si="69"/>
        <v>156</v>
      </c>
    </row>
    <row r="900" spans="1:26" ht="14.1" customHeight="1">
      <c r="A900" s="144">
        <v>938</v>
      </c>
      <c r="B900" s="485" t="s">
        <v>246</v>
      </c>
      <c r="C900" s="160" t="s">
        <v>708</v>
      </c>
      <c r="D900" s="657" t="s">
        <v>98</v>
      </c>
      <c r="E900" s="716" t="s">
        <v>407</v>
      </c>
      <c r="F900" s="659" t="s">
        <v>1108</v>
      </c>
      <c r="G900" s="659" t="s">
        <v>189</v>
      </c>
      <c r="H900" s="659" t="s">
        <v>1058</v>
      </c>
      <c r="I900" s="660" t="str">
        <f>VLOOKUP(H900,'9a-Typen vloeren'!$A$10:$B$40,2,FALSE)</f>
        <v>Sproei/extraheren</v>
      </c>
      <c r="J900" s="661">
        <v>30</v>
      </c>
      <c r="K900" s="433">
        <f t="shared" si="73"/>
        <v>0</v>
      </c>
      <c r="L900" s="433">
        <f t="shared" si="74"/>
        <v>0</v>
      </c>
      <c r="M900" s="433">
        <f t="shared" si="75"/>
        <v>30</v>
      </c>
      <c r="N900" s="672"/>
      <c r="O900" s="729">
        <f>IF(N900="",0,N900*K900/'9b-Vloeronderhoud'!$F$4)</f>
        <v>0</v>
      </c>
      <c r="P900" s="672"/>
      <c r="Q900" s="729" t="e">
        <f>IF(O900="",0,P900*L900/'9b-Vloeronderhoud'!$F$6)</f>
        <v>#DIV/0!</v>
      </c>
      <c r="R900" s="449">
        <v>1</v>
      </c>
      <c r="S900" s="675">
        <v>40</v>
      </c>
      <c r="T900" s="161" t="e">
        <f t="shared" si="68"/>
        <v>#DIV/0!</v>
      </c>
      <c r="U900" s="162">
        <f>IF(S900="nio",0,IF(S900&gt;0,VLOOKUP(G900,'3-Productie normen'!A:K,VLOOKUP(S900,'3-Productie normen'!L:N,3,FALSE),FALSE)))</f>
        <v>0</v>
      </c>
      <c r="V900" s="162">
        <f>VLOOKUP(G900,'3-Productie normen'!A:K,10,FALSE)</f>
        <v>1494.1700078582762</v>
      </c>
      <c r="W900" s="163">
        <f>VLOOKUP(G900,'3-Productie normen'!A:K,11,FALSE)</f>
        <v>0</v>
      </c>
      <c r="X900" s="163"/>
      <c r="Z900" s="129">
        <f t="shared" si="69"/>
        <v>1200</v>
      </c>
    </row>
    <row r="901" spans="1:26" ht="14.1" customHeight="1">
      <c r="A901" s="144">
        <v>939</v>
      </c>
      <c r="B901" s="485" t="s">
        <v>246</v>
      </c>
      <c r="C901" s="160" t="s">
        <v>708</v>
      </c>
      <c r="D901" s="657" t="s">
        <v>98</v>
      </c>
      <c r="E901" s="716" t="s">
        <v>408</v>
      </c>
      <c r="F901" s="659" t="s">
        <v>559</v>
      </c>
      <c r="G901" s="659" t="s">
        <v>861</v>
      </c>
      <c r="H901" s="659" t="s">
        <v>100</v>
      </c>
      <c r="I901" s="660" t="str">
        <f>VLOOKUP(H901,'9a-Typen vloeren'!$A$10:$B$40,2,FALSE)</f>
        <v>Sprayen/ conserveren</v>
      </c>
      <c r="J901" s="661">
        <v>9.6</v>
      </c>
      <c r="K901" s="433">
        <f t="shared" si="73"/>
        <v>9.6</v>
      </c>
      <c r="L901" s="433">
        <f t="shared" si="74"/>
        <v>0</v>
      </c>
      <c r="M901" s="433">
        <f t="shared" si="75"/>
        <v>0</v>
      </c>
      <c r="N901" s="672"/>
      <c r="O901" s="729">
        <f>IF(N901="",0,N901*K901/'9b-Vloeronderhoud'!$F$4)</f>
        <v>0</v>
      </c>
      <c r="P901" s="672"/>
      <c r="Q901" s="729" t="e">
        <f>IF(O901="",0,P901*L901/'9b-Vloeronderhoud'!$F$6)</f>
        <v>#DIV/0!</v>
      </c>
      <c r="R901" s="449">
        <v>1</v>
      </c>
      <c r="S901" s="676" t="s">
        <v>179</v>
      </c>
      <c r="T901" s="161">
        <f t="shared" si="68"/>
        <v>0</v>
      </c>
      <c r="U901" s="162">
        <f>IF(S901="nio",0,IF(S901&gt;0,VLOOKUP(G901,'3-Productie normen'!A:K,VLOOKUP(S901,'3-Productie normen'!L:N,3,FALSE),FALSE)))</f>
        <v>0</v>
      </c>
      <c r="V901" s="162">
        <f>VLOOKUP(G901,'3-Productie normen'!A:K,10,FALSE)</f>
        <v>137.96000057220459</v>
      </c>
      <c r="W901" s="163">
        <f>VLOOKUP(G901,'3-Productie normen'!A:K,11,FALSE)</f>
        <v>0</v>
      </c>
      <c r="X901" s="163"/>
      <c r="Z901" s="129">
        <f t="shared" si="69"/>
        <v>0</v>
      </c>
    </row>
    <row r="902" spans="1:26" ht="14.1" customHeight="1">
      <c r="A902" s="144">
        <v>940</v>
      </c>
      <c r="B902" s="485" t="s">
        <v>246</v>
      </c>
      <c r="C902" s="160" t="s">
        <v>708</v>
      </c>
      <c r="D902" s="657" t="s">
        <v>98</v>
      </c>
      <c r="E902" s="716" t="s">
        <v>414</v>
      </c>
      <c r="F902" s="659" t="s">
        <v>267</v>
      </c>
      <c r="G902" s="659" t="s">
        <v>18</v>
      </c>
      <c r="H902" s="659" t="s">
        <v>101</v>
      </c>
      <c r="I902" s="660" t="str">
        <f>VLOOKUP(H902,'9a-Typen vloeren'!$A$10:$B$40,2,FALSE)</f>
        <v>Schrobben</v>
      </c>
      <c r="J902" s="661">
        <v>4.9000000000000004</v>
      </c>
      <c r="K902" s="433">
        <f t="shared" si="73"/>
        <v>0</v>
      </c>
      <c r="L902" s="433">
        <f t="shared" si="74"/>
        <v>4.9000000000000004</v>
      </c>
      <c r="M902" s="433">
        <f t="shared" si="75"/>
        <v>0</v>
      </c>
      <c r="N902" s="672"/>
      <c r="O902" s="729">
        <f>IF(N902="",0,N902*K902/'9b-Vloeronderhoud'!$F$4)</f>
        <v>0</v>
      </c>
      <c r="P902" s="672"/>
      <c r="Q902" s="729" t="e">
        <f>IF(O902="",0,P902*L902/'9b-Vloeronderhoud'!$F$6)</f>
        <v>#DIV/0!</v>
      </c>
      <c r="R902" s="449">
        <v>1</v>
      </c>
      <c r="S902" s="676">
        <v>190</v>
      </c>
      <c r="T902" s="161" t="e">
        <f t="shared" si="68"/>
        <v>#DIV/0!</v>
      </c>
      <c r="U902" s="162">
        <f>IF(S902="nio",0,IF(S902&gt;0,VLOOKUP(G902,'3-Productie normen'!A:K,VLOOKUP(S902,'3-Productie normen'!L:N,3,FALSE),FALSE)))</f>
        <v>0</v>
      </c>
      <c r="V902" s="162">
        <f>VLOOKUP(G902,'3-Productie normen'!A:K,10,FALSE)</f>
        <v>1859.5880019121171</v>
      </c>
      <c r="W902" s="163">
        <f>VLOOKUP(G902,'3-Productie normen'!A:K,11,FALSE)</f>
        <v>0</v>
      </c>
      <c r="X902" s="163"/>
      <c r="Z902" s="129">
        <f t="shared" si="69"/>
        <v>931.00000000000011</v>
      </c>
    </row>
    <row r="903" spans="1:26" ht="14.1" customHeight="1">
      <c r="A903" s="144">
        <v>941</v>
      </c>
      <c r="B903" s="485" t="s">
        <v>246</v>
      </c>
      <c r="C903" s="160" t="s">
        <v>708</v>
      </c>
      <c r="D903" s="657">
        <v>1</v>
      </c>
      <c r="E903" s="716" t="s">
        <v>351</v>
      </c>
      <c r="F903" s="659" t="s">
        <v>404</v>
      </c>
      <c r="G903" s="659" t="s">
        <v>286</v>
      </c>
      <c r="H903" s="659" t="s">
        <v>1058</v>
      </c>
      <c r="I903" s="660" t="str">
        <f>VLOOKUP(H903,'9a-Typen vloeren'!$A$10:$B$40,2,FALSE)</f>
        <v>Sproei/extraheren</v>
      </c>
      <c r="J903" s="661">
        <v>25.5</v>
      </c>
      <c r="K903" s="433">
        <f t="shared" si="73"/>
        <v>0</v>
      </c>
      <c r="L903" s="433">
        <f t="shared" si="74"/>
        <v>0</v>
      </c>
      <c r="M903" s="433">
        <f t="shared" si="75"/>
        <v>25.5</v>
      </c>
      <c r="N903" s="672"/>
      <c r="O903" s="729">
        <f>IF(N903="",0,N903*K903/'9b-Vloeronderhoud'!$F$4)</f>
        <v>0</v>
      </c>
      <c r="P903" s="672"/>
      <c r="Q903" s="729" t="e">
        <f>IF(O903="",0,P903*L903/'9b-Vloeronderhoud'!$F$6)</f>
        <v>#DIV/0!</v>
      </c>
      <c r="R903" s="449">
        <v>1</v>
      </c>
      <c r="S903" s="672">
        <v>120</v>
      </c>
      <c r="T903" s="161" t="e">
        <f t="shared" si="68"/>
        <v>#DIV/0!</v>
      </c>
      <c r="U903" s="162">
        <f>IF(S903="nio",0,IF(S903&gt;0,VLOOKUP(G903,'3-Productie normen'!A:K,VLOOKUP(S903,'3-Productie normen'!L:N,3,FALSE),FALSE)))</f>
        <v>0</v>
      </c>
      <c r="V903" s="162">
        <f>VLOOKUP(G903,'3-Productie normen'!A:K,10,FALSE)</f>
        <v>6152.9500017547598</v>
      </c>
      <c r="W903" s="163">
        <f>VLOOKUP(G903,'3-Productie normen'!A:K,11,FALSE)</f>
        <v>0</v>
      </c>
      <c r="X903" s="163"/>
      <c r="Z903" s="129">
        <f t="shared" si="69"/>
        <v>3060</v>
      </c>
    </row>
    <row r="904" spans="1:26" ht="14.1" customHeight="1">
      <c r="A904" s="144">
        <v>942</v>
      </c>
      <c r="B904" s="485" t="s">
        <v>246</v>
      </c>
      <c r="C904" s="160" t="s">
        <v>708</v>
      </c>
      <c r="D904" s="657">
        <v>1</v>
      </c>
      <c r="E904" s="716" t="s">
        <v>352</v>
      </c>
      <c r="F904" s="659" t="s">
        <v>1109</v>
      </c>
      <c r="G904" s="659" t="s">
        <v>221</v>
      </c>
      <c r="H904" s="659" t="s">
        <v>1058</v>
      </c>
      <c r="I904" s="660" t="str">
        <f>VLOOKUP(H904,'9a-Typen vloeren'!$A$10:$B$40,2,FALSE)</f>
        <v>Sproei/extraheren</v>
      </c>
      <c r="J904" s="661">
        <v>46.1</v>
      </c>
      <c r="K904" s="433">
        <f t="shared" si="73"/>
        <v>0</v>
      </c>
      <c r="L904" s="433">
        <f t="shared" si="74"/>
        <v>0</v>
      </c>
      <c r="M904" s="433">
        <f t="shared" si="75"/>
        <v>46.1</v>
      </c>
      <c r="N904" s="672"/>
      <c r="O904" s="729">
        <f>IF(N904="",0,N904*K904/'9b-Vloeronderhoud'!$F$4)</f>
        <v>0</v>
      </c>
      <c r="P904" s="672"/>
      <c r="Q904" s="729" t="e">
        <f>IF(O904="",0,P904*L904/'9b-Vloeronderhoud'!$F$6)</f>
        <v>#DIV/0!</v>
      </c>
      <c r="R904" s="449">
        <v>1</v>
      </c>
      <c r="S904" s="672">
        <v>80</v>
      </c>
      <c r="T904" s="161" t="e">
        <f t="shared" si="68"/>
        <v>#DIV/0!</v>
      </c>
      <c r="U904" s="162">
        <f>IF(S904="nio",0,IF(S904&gt;0,VLOOKUP(G904,'3-Productie normen'!A:K,VLOOKUP(S904,'3-Productie normen'!L:N,3,FALSE),FALSE)))</f>
        <v>0</v>
      </c>
      <c r="V904" s="162">
        <f>VLOOKUP(G904,'3-Productie normen'!A:K,10,FALSE)</f>
        <v>16013.110036668773</v>
      </c>
      <c r="W904" s="163">
        <f>VLOOKUP(G904,'3-Productie normen'!A:K,11,FALSE)</f>
        <v>0</v>
      </c>
      <c r="X904" s="163"/>
      <c r="Z904" s="129">
        <f t="shared" si="69"/>
        <v>3688</v>
      </c>
    </row>
    <row r="905" spans="1:26" ht="14.1" customHeight="1">
      <c r="A905" s="144">
        <v>943</v>
      </c>
      <c r="B905" s="485" t="s">
        <v>246</v>
      </c>
      <c r="C905" s="160" t="s">
        <v>708</v>
      </c>
      <c r="D905" s="657">
        <v>1</v>
      </c>
      <c r="E905" s="716" t="s">
        <v>354</v>
      </c>
      <c r="F905" s="659" t="s">
        <v>1110</v>
      </c>
      <c r="G905" s="659" t="s">
        <v>221</v>
      </c>
      <c r="H905" s="659" t="s">
        <v>1058</v>
      </c>
      <c r="I905" s="660" t="str">
        <f>VLOOKUP(H905,'9a-Typen vloeren'!$A$10:$B$40,2,FALSE)</f>
        <v>Sproei/extraheren</v>
      </c>
      <c r="J905" s="661">
        <v>46.1</v>
      </c>
      <c r="K905" s="433">
        <f t="shared" si="73"/>
        <v>0</v>
      </c>
      <c r="L905" s="433">
        <f t="shared" si="74"/>
        <v>0</v>
      </c>
      <c r="M905" s="433">
        <f t="shared" si="75"/>
        <v>46.1</v>
      </c>
      <c r="N905" s="672"/>
      <c r="O905" s="729">
        <f>IF(N905="",0,N905*K905/'9b-Vloeronderhoud'!$F$4)</f>
        <v>0</v>
      </c>
      <c r="P905" s="672"/>
      <c r="Q905" s="729" t="e">
        <f>IF(O905="",0,P905*L905/'9b-Vloeronderhoud'!$F$6)</f>
        <v>#DIV/0!</v>
      </c>
      <c r="R905" s="449">
        <v>1</v>
      </c>
      <c r="S905" s="672">
        <v>80</v>
      </c>
      <c r="T905" s="161" t="e">
        <f t="shared" si="68"/>
        <v>#DIV/0!</v>
      </c>
      <c r="U905" s="162">
        <f>IF(S905="nio",0,IF(S905&gt;0,VLOOKUP(G905,'3-Productie normen'!A:K,VLOOKUP(S905,'3-Productie normen'!L:N,3,FALSE),FALSE)))</f>
        <v>0</v>
      </c>
      <c r="V905" s="162">
        <f>VLOOKUP(G905,'3-Productie normen'!A:K,10,FALSE)</f>
        <v>16013.110036668773</v>
      </c>
      <c r="W905" s="163">
        <f>VLOOKUP(G905,'3-Productie normen'!A:K,11,FALSE)</f>
        <v>0</v>
      </c>
      <c r="X905" s="163"/>
      <c r="Z905" s="129">
        <f t="shared" si="69"/>
        <v>3688</v>
      </c>
    </row>
    <row r="906" spans="1:26" ht="14.1" customHeight="1">
      <c r="A906" s="144">
        <v>944</v>
      </c>
      <c r="B906" s="485" t="s">
        <v>246</v>
      </c>
      <c r="C906" s="160" t="s">
        <v>708</v>
      </c>
      <c r="D906" s="657">
        <v>1</v>
      </c>
      <c r="E906" s="716" t="s">
        <v>355</v>
      </c>
      <c r="F906" s="659" t="s">
        <v>475</v>
      </c>
      <c r="G906" s="659" t="s">
        <v>861</v>
      </c>
      <c r="H906" s="659" t="s">
        <v>101</v>
      </c>
      <c r="I906" s="660" t="str">
        <f>VLOOKUP(H906,'9a-Typen vloeren'!$A$10:$B$40,2,FALSE)</f>
        <v>Schrobben</v>
      </c>
      <c r="J906" s="661">
        <v>10</v>
      </c>
      <c r="K906" s="433">
        <f t="shared" si="73"/>
        <v>0</v>
      </c>
      <c r="L906" s="433">
        <f t="shared" si="74"/>
        <v>10</v>
      </c>
      <c r="M906" s="433">
        <f t="shared" si="75"/>
        <v>0</v>
      </c>
      <c r="N906" s="672"/>
      <c r="O906" s="729">
        <f>IF(N906="",0,N906*K906/'9b-Vloeronderhoud'!$F$4)</f>
        <v>0</v>
      </c>
      <c r="P906" s="672"/>
      <c r="Q906" s="729" t="e">
        <f>IF(O906="",0,P906*L906/'9b-Vloeronderhoud'!$F$6)</f>
        <v>#DIV/0!</v>
      </c>
      <c r="R906" s="449">
        <v>1</v>
      </c>
      <c r="S906" s="676" t="s">
        <v>179</v>
      </c>
      <c r="T906" s="161">
        <f t="shared" ref="T906:T969" si="76">IF(S906="nio",0,IF(S906&gt;0,S906*J906/U906,0))*R906</f>
        <v>0</v>
      </c>
      <c r="U906" s="162">
        <f>IF(S906="nio",0,IF(S906&gt;0,VLOOKUP(G906,'3-Productie normen'!A:K,VLOOKUP(S906,'3-Productie normen'!L:N,3,FALSE),FALSE)))</f>
        <v>0</v>
      </c>
      <c r="V906" s="162">
        <f>VLOOKUP(G906,'3-Productie normen'!A:K,10,FALSE)</f>
        <v>137.96000057220459</v>
      </c>
      <c r="W906" s="163">
        <f>VLOOKUP(G906,'3-Productie normen'!A:K,11,FALSE)</f>
        <v>0</v>
      </c>
      <c r="X906" s="163"/>
      <c r="Z906" s="129">
        <f t="shared" ref="Z906:Z969" si="77">SUM(S906:S906)*J906</f>
        <v>0</v>
      </c>
    </row>
    <row r="907" spans="1:26" ht="14.1" customHeight="1">
      <c r="A907" s="144">
        <v>945</v>
      </c>
      <c r="B907" s="485" t="s">
        <v>246</v>
      </c>
      <c r="C907" s="160" t="s">
        <v>708</v>
      </c>
      <c r="D907" s="657" t="s">
        <v>98</v>
      </c>
      <c r="E907" s="716" t="s">
        <v>1111</v>
      </c>
      <c r="F907" s="659" t="s">
        <v>1112</v>
      </c>
      <c r="G907" s="659" t="s">
        <v>221</v>
      </c>
      <c r="H907" s="659" t="s">
        <v>100</v>
      </c>
      <c r="I907" s="660" t="str">
        <f>VLOOKUP(H907,'9a-Typen vloeren'!$A$10:$B$40,2,FALSE)</f>
        <v>Sprayen/ conserveren</v>
      </c>
      <c r="J907" s="661">
        <v>50.7</v>
      </c>
      <c r="K907" s="433">
        <f t="shared" si="73"/>
        <v>50.7</v>
      </c>
      <c r="L907" s="433">
        <f t="shared" si="74"/>
        <v>0</v>
      </c>
      <c r="M907" s="433">
        <f t="shared" si="75"/>
        <v>0</v>
      </c>
      <c r="N907" s="672"/>
      <c r="O907" s="729">
        <f>IF(N907="",0,N907*K907/'9b-Vloeronderhoud'!$F$4)</f>
        <v>0</v>
      </c>
      <c r="P907" s="672"/>
      <c r="Q907" s="729" t="e">
        <f>IF(O907="",0,P907*L907/'9b-Vloeronderhoud'!$F$6)</f>
        <v>#DIV/0!</v>
      </c>
      <c r="R907" s="449">
        <v>1</v>
      </c>
      <c r="S907" s="688" t="s">
        <v>179</v>
      </c>
      <c r="T907" s="161">
        <f t="shared" si="76"/>
        <v>0</v>
      </c>
      <c r="U907" s="162">
        <f>IF(S907="nio",0,IF(S907&gt;0,VLOOKUP(G907,'3-Productie normen'!A:K,VLOOKUP(S907,'3-Productie normen'!L:N,3,FALSE),FALSE)))</f>
        <v>0</v>
      </c>
      <c r="V907" s="162">
        <f>VLOOKUP(G907,'3-Productie normen'!A:K,10,FALSE)</f>
        <v>16013.110036668773</v>
      </c>
      <c r="W907" s="163">
        <f>VLOOKUP(G907,'3-Productie normen'!A:K,11,FALSE)</f>
        <v>0</v>
      </c>
      <c r="X907" s="163"/>
      <c r="Z907" s="129">
        <f t="shared" si="77"/>
        <v>0</v>
      </c>
    </row>
    <row r="908" spans="1:26" ht="14.1" customHeight="1">
      <c r="A908" s="144">
        <v>946</v>
      </c>
      <c r="B908" s="485" t="s">
        <v>246</v>
      </c>
      <c r="C908" s="160" t="s">
        <v>708</v>
      </c>
      <c r="D908" s="657" t="s">
        <v>98</v>
      </c>
      <c r="E908" s="716" t="s">
        <v>1113</v>
      </c>
      <c r="F908" s="659" t="s">
        <v>404</v>
      </c>
      <c r="G908" s="659" t="s">
        <v>286</v>
      </c>
      <c r="H908" s="659" t="s">
        <v>333</v>
      </c>
      <c r="I908" s="660" t="str">
        <f>VLOOKUP(H908,'9a-Typen vloeren'!$A$10:$B$40,2,FALSE)</f>
        <v>Schrobben</v>
      </c>
      <c r="J908" s="661">
        <v>7</v>
      </c>
      <c r="K908" s="433">
        <f t="shared" si="73"/>
        <v>0</v>
      </c>
      <c r="L908" s="433">
        <f t="shared" si="74"/>
        <v>7</v>
      </c>
      <c r="M908" s="433">
        <f t="shared" si="75"/>
        <v>0</v>
      </c>
      <c r="N908" s="672"/>
      <c r="O908" s="729">
        <f>IF(N908="",0,N908*K908/'9b-Vloeronderhoud'!$F$4)</f>
        <v>0</v>
      </c>
      <c r="P908" s="672">
        <v>3</v>
      </c>
      <c r="Q908" s="729" t="e">
        <f>IF(O908="",0,P908*L908/'9b-Vloeronderhoud'!$F$6)</f>
        <v>#DIV/0!</v>
      </c>
      <c r="R908" s="449">
        <v>1</v>
      </c>
      <c r="S908" s="672">
        <v>120</v>
      </c>
      <c r="T908" s="161" t="e">
        <f t="shared" si="76"/>
        <v>#DIV/0!</v>
      </c>
      <c r="U908" s="162">
        <f>IF(S908="nio",0,IF(S908&gt;0,VLOOKUP(G908,'3-Productie normen'!A:K,VLOOKUP(S908,'3-Productie normen'!L:N,3,FALSE),FALSE)))</f>
        <v>0</v>
      </c>
      <c r="V908" s="162">
        <f>VLOOKUP(G908,'3-Productie normen'!A:K,10,FALSE)</f>
        <v>6152.9500017547598</v>
      </c>
      <c r="W908" s="163">
        <f>VLOOKUP(G908,'3-Productie normen'!A:K,11,FALSE)</f>
        <v>0</v>
      </c>
      <c r="X908" s="163"/>
      <c r="Z908" s="129">
        <f t="shared" si="77"/>
        <v>840</v>
      </c>
    </row>
    <row r="909" spans="1:26" ht="14.1" customHeight="1">
      <c r="A909" s="144">
        <v>947</v>
      </c>
      <c r="B909" s="485" t="s">
        <v>246</v>
      </c>
      <c r="C909" s="160" t="s">
        <v>708</v>
      </c>
      <c r="D909" s="657" t="s">
        <v>98</v>
      </c>
      <c r="E909" s="716" t="s">
        <v>1114</v>
      </c>
      <c r="F909" s="659" t="s">
        <v>267</v>
      </c>
      <c r="G909" s="659" t="s">
        <v>18</v>
      </c>
      <c r="H909" s="659" t="s">
        <v>333</v>
      </c>
      <c r="I909" s="660" t="str">
        <f>VLOOKUP(H909,'9a-Typen vloeren'!$A$10:$B$40,2,FALSE)</f>
        <v>Schrobben</v>
      </c>
      <c r="J909" s="661">
        <v>6</v>
      </c>
      <c r="K909" s="433">
        <f t="shared" si="73"/>
        <v>0</v>
      </c>
      <c r="L909" s="433">
        <f t="shared" si="74"/>
        <v>6</v>
      </c>
      <c r="M909" s="433">
        <f t="shared" si="75"/>
        <v>0</v>
      </c>
      <c r="N909" s="672"/>
      <c r="O909" s="729">
        <f>IF(N909="",0,N909*K909/'9b-Vloeronderhoud'!$F$4)</f>
        <v>0</v>
      </c>
      <c r="P909" s="672"/>
      <c r="Q909" s="729" t="e">
        <f>IF(O909="",0,P909*L909/'9b-Vloeronderhoud'!$F$6)</f>
        <v>#DIV/0!</v>
      </c>
      <c r="R909" s="449">
        <v>1</v>
      </c>
      <c r="S909" s="676">
        <v>190</v>
      </c>
      <c r="T909" s="161" t="e">
        <f t="shared" si="76"/>
        <v>#DIV/0!</v>
      </c>
      <c r="U909" s="162">
        <f>IF(S909="nio",0,IF(S909&gt;0,VLOOKUP(G909,'3-Productie normen'!A:K,VLOOKUP(S909,'3-Productie normen'!L:N,3,FALSE),FALSE)))</f>
        <v>0</v>
      </c>
      <c r="V909" s="162">
        <f>VLOOKUP(G909,'3-Productie normen'!A:K,10,FALSE)</f>
        <v>1859.5880019121171</v>
      </c>
      <c r="W909" s="163">
        <f>VLOOKUP(G909,'3-Productie normen'!A:K,11,FALSE)</f>
        <v>0</v>
      </c>
      <c r="X909" s="163"/>
      <c r="Z909" s="129">
        <f t="shared" si="77"/>
        <v>1140</v>
      </c>
    </row>
    <row r="910" spans="1:26" ht="14.1" customHeight="1">
      <c r="A910" s="144">
        <v>948</v>
      </c>
      <c r="B910" s="485" t="s">
        <v>246</v>
      </c>
      <c r="C910" s="160" t="s">
        <v>708</v>
      </c>
      <c r="D910" s="657">
        <v>1</v>
      </c>
      <c r="E910" s="716" t="s">
        <v>1115</v>
      </c>
      <c r="F910" s="659" t="s">
        <v>1116</v>
      </c>
      <c r="G910" s="659" t="s">
        <v>221</v>
      </c>
      <c r="H910" s="659" t="s">
        <v>100</v>
      </c>
      <c r="I910" s="660" t="str">
        <f>VLOOKUP(H910,'9a-Typen vloeren'!$A$10:$B$40,2,FALSE)</f>
        <v>Sprayen/ conserveren</v>
      </c>
      <c r="J910" s="661">
        <v>50.7</v>
      </c>
      <c r="K910" s="433">
        <f t="shared" si="73"/>
        <v>50.7</v>
      </c>
      <c r="L910" s="433">
        <f t="shared" si="74"/>
        <v>0</v>
      </c>
      <c r="M910" s="433">
        <f t="shared" si="75"/>
        <v>0</v>
      </c>
      <c r="N910" s="672"/>
      <c r="O910" s="729">
        <f>IF(N910="",0,N910*K910/'9b-Vloeronderhoud'!$F$4)</f>
        <v>0</v>
      </c>
      <c r="P910" s="672"/>
      <c r="Q910" s="729" t="e">
        <f>IF(O910="",0,P910*L910/'9b-Vloeronderhoud'!$F$6)</f>
        <v>#DIV/0!</v>
      </c>
      <c r="R910" s="449">
        <v>1</v>
      </c>
      <c r="S910" s="688" t="s">
        <v>179</v>
      </c>
      <c r="T910" s="161">
        <f t="shared" si="76"/>
        <v>0</v>
      </c>
      <c r="U910" s="162">
        <f>IF(S910="nio",0,IF(S910&gt;0,VLOOKUP(G910,'3-Productie normen'!A:K,VLOOKUP(S910,'3-Productie normen'!L:N,3,FALSE),FALSE)))</f>
        <v>0</v>
      </c>
      <c r="V910" s="162">
        <f>VLOOKUP(G910,'3-Productie normen'!A:K,10,FALSE)</f>
        <v>16013.110036668773</v>
      </c>
      <c r="W910" s="163">
        <f>VLOOKUP(G910,'3-Productie normen'!A:K,11,FALSE)</f>
        <v>0</v>
      </c>
      <c r="X910" s="163"/>
      <c r="Z910" s="129">
        <f t="shared" si="77"/>
        <v>0</v>
      </c>
    </row>
    <row r="911" spans="1:26" ht="14.1" customHeight="1">
      <c r="A911" s="144">
        <v>949</v>
      </c>
      <c r="B911" s="485" t="s">
        <v>258</v>
      </c>
      <c r="C911" s="303" t="s">
        <v>848</v>
      </c>
      <c r="D911" s="304" t="s">
        <v>98</v>
      </c>
      <c r="E911" s="694" t="s">
        <v>727</v>
      </c>
      <c r="F911" s="303" t="s">
        <v>285</v>
      </c>
      <c r="G911" s="122" t="s">
        <v>285</v>
      </c>
      <c r="H911" s="516" t="s">
        <v>847</v>
      </c>
      <c r="I911" s="582" t="s">
        <v>952</v>
      </c>
      <c r="J911" s="433">
        <v>55</v>
      </c>
      <c r="K911" s="433">
        <f t="shared" si="70"/>
        <v>0</v>
      </c>
      <c r="L911" s="433">
        <f t="shared" si="71"/>
        <v>55</v>
      </c>
      <c r="M911" s="433">
        <f t="shared" si="72"/>
        <v>0</v>
      </c>
      <c r="N911" s="672"/>
      <c r="O911" s="729">
        <f>IF(N911="",0,N911*K911/'9b-Vloeronderhoud'!$F$4)</f>
        <v>0</v>
      </c>
      <c r="P911" s="672"/>
      <c r="Q911" s="729" t="e">
        <f>IF(O911="",0,P911*L911/'9b-Vloeronderhoud'!$F$6)</f>
        <v>#DIV/0!</v>
      </c>
      <c r="R911" s="449">
        <v>1</v>
      </c>
      <c r="S911" s="672">
        <v>190</v>
      </c>
      <c r="T911" s="161" t="e">
        <f t="shared" si="76"/>
        <v>#DIV/0!</v>
      </c>
      <c r="U911" s="162">
        <f>IF(S911="nio",0,IF(S911&gt;0,VLOOKUP(G911,'3-Productie normen'!A:K,VLOOKUP(S911,'3-Productie normen'!L:N,3,FALSE),FALSE)))</f>
        <v>0</v>
      </c>
      <c r="V911" s="162">
        <f>VLOOKUP(G911,'3-Productie normen'!A:K,10,FALSE)</f>
        <v>3305.8200070953367</v>
      </c>
      <c r="W911" s="163">
        <f>VLOOKUP(G911,'3-Productie normen'!A:K,11,FALSE)</f>
        <v>0</v>
      </c>
      <c r="X911" s="163"/>
      <c r="Z911" s="129">
        <f t="shared" si="77"/>
        <v>10450</v>
      </c>
    </row>
    <row r="912" spans="1:26" ht="14.1" customHeight="1">
      <c r="A912" s="144">
        <v>950</v>
      </c>
      <c r="B912" s="485" t="s">
        <v>258</v>
      </c>
      <c r="C912" s="303" t="s">
        <v>848</v>
      </c>
      <c r="D912" s="304" t="s">
        <v>98</v>
      </c>
      <c r="E912" s="694" t="s">
        <v>789</v>
      </c>
      <c r="F912" s="303" t="s">
        <v>285</v>
      </c>
      <c r="G912" s="122" t="s">
        <v>285</v>
      </c>
      <c r="H912" s="516" t="s">
        <v>847</v>
      </c>
      <c r="I912" s="582" t="s">
        <v>952</v>
      </c>
      <c r="J912" s="433">
        <v>62</v>
      </c>
      <c r="K912" s="433">
        <f t="shared" si="70"/>
        <v>0</v>
      </c>
      <c r="L912" s="433">
        <f t="shared" si="71"/>
        <v>62</v>
      </c>
      <c r="M912" s="433">
        <f t="shared" si="72"/>
        <v>0</v>
      </c>
      <c r="N912" s="672"/>
      <c r="O912" s="729">
        <f>IF(N912="",0,N912*K912/'9b-Vloeronderhoud'!$F$4)</f>
        <v>0</v>
      </c>
      <c r="P912" s="672"/>
      <c r="Q912" s="729" t="e">
        <f>IF(O912="",0,P912*L912/'9b-Vloeronderhoud'!$F$6)</f>
        <v>#DIV/0!</v>
      </c>
      <c r="R912" s="449">
        <v>1</v>
      </c>
      <c r="S912" s="672">
        <v>190</v>
      </c>
      <c r="T912" s="161" t="e">
        <f t="shared" si="76"/>
        <v>#DIV/0!</v>
      </c>
      <c r="U912" s="162">
        <f>IF(S912="nio",0,IF(S912&gt;0,VLOOKUP(G912,'3-Productie normen'!A:K,VLOOKUP(S912,'3-Productie normen'!L:N,3,FALSE),FALSE)))</f>
        <v>0</v>
      </c>
      <c r="V912" s="162">
        <f>VLOOKUP(G912,'3-Productie normen'!A:K,10,FALSE)</f>
        <v>3305.8200070953367</v>
      </c>
      <c r="W912" s="163">
        <f>VLOOKUP(G912,'3-Productie normen'!A:K,11,FALSE)</f>
        <v>0</v>
      </c>
      <c r="X912" s="163"/>
      <c r="Z912" s="129">
        <f t="shared" si="77"/>
        <v>11780</v>
      </c>
    </row>
    <row r="913" spans="1:26" ht="14.1" customHeight="1">
      <c r="A913" s="144">
        <v>951</v>
      </c>
      <c r="B913" s="485" t="s">
        <v>258</v>
      </c>
      <c r="C913" s="303" t="s">
        <v>848</v>
      </c>
      <c r="D913" s="304" t="s">
        <v>98</v>
      </c>
      <c r="E913" s="694" t="s">
        <v>794</v>
      </c>
      <c r="F913" s="303" t="s">
        <v>285</v>
      </c>
      <c r="G913" s="122" t="s">
        <v>285</v>
      </c>
      <c r="H913" s="303" t="s">
        <v>847</v>
      </c>
      <c r="I913" s="582" t="s">
        <v>952</v>
      </c>
      <c r="J913" s="433">
        <v>65</v>
      </c>
      <c r="K913" s="433">
        <f t="shared" si="70"/>
        <v>0</v>
      </c>
      <c r="L913" s="433">
        <f t="shared" si="71"/>
        <v>65</v>
      </c>
      <c r="M913" s="433">
        <f t="shared" si="72"/>
        <v>0</v>
      </c>
      <c r="N913" s="672"/>
      <c r="O913" s="729">
        <f>IF(N913="",0,N913*K913/'9b-Vloeronderhoud'!$F$4)</f>
        <v>0</v>
      </c>
      <c r="P913" s="672"/>
      <c r="Q913" s="729" t="e">
        <f>IF(O913="",0,P913*L913/'9b-Vloeronderhoud'!$F$6)</f>
        <v>#DIV/0!</v>
      </c>
      <c r="R913" s="449">
        <v>1</v>
      </c>
      <c r="S913" s="672">
        <v>190</v>
      </c>
      <c r="T913" s="161" t="e">
        <f t="shared" si="76"/>
        <v>#DIV/0!</v>
      </c>
      <c r="U913" s="162">
        <f>IF(S913="nio",0,IF(S913&gt;0,VLOOKUP(G913,'3-Productie normen'!A:K,VLOOKUP(S913,'3-Productie normen'!L:N,3,FALSE),FALSE)))</f>
        <v>0</v>
      </c>
      <c r="V913" s="162">
        <f>VLOOKUP(G913,'3-Productie normen'!A:K,10,FALSE)</f>
        <v>3305.8200070953367</v>
      </c>
      <c r="W913" s="163">
        <f>VLOOKUP(G913,'3-Productie normen'!A:K,11,FALSE)</f>
        <v>0</v>
      </c>
      <c r="X913" s="163"/>
      <c r="Z913" s="129">
        <f t="shared" si="77"/>
        <v>12350</v>
      </c>
    </row>
    <row r="914" spans="1:26" ht="14.1" customHeight="1">
      <c r="A914" s="144">
        <v>952</v>
      </c>
      <c r="B914" s="485" t="s">
        <v>258</v>
      </c>
      <c r="C914" s="303" t="s">
        <v>848</v>
      </c>
      <c r="D914" s="304" t="s">
        <v>98</v>
      </c>
      <c r="E914" s="694" t="s">
        <v>726</v>
      </c>
      <c r="F914" s="303" t="s">
        <v>285</v>
      </c>
      <c r="G914" s="122" t="s">
        <v>285</v>
      </c>
      <c r="H914" s="303" t="s">
        <v>100</v>
      </c>
      <c r="I914" s="582" t="str">
        <f>VLOOKUP(H914,'9a-Typen vloeren'!$A$10:$B$40,2,FALSE)</f>
        <v>Sprayen/ conserveren</v>
      </c>
      <c r="J914" s="433">
        <v>110</v>
      </c>
      <c r="K914" s="433">
        <f t="shared" si="70"/>
        <v>110</v>
      </c>
      <c r="L914" s="433">
        <f t="shared" si="71"/>
        <v>0</v>
      </c>
      <c r="M914" s="433">
        <f t="shared" si="72"/>
        <v>0</v>
      </c>
      <c r="N914" s="672"/>
      <c r="O914" s="729">
        <f>IF(N914="",0,N914*K914/'9b-Vloeronderhoud'!$F$4)</f>
        <v>0</v>
      </c>
      <c r="P914" s="672"/>
      <c r="Q914" s="729" t="e">
        <f>IF(O914="",0,P914*L914/'9b-Vloeronderhoud'!$F$6)</f>
        <v>#DIV/0!</v>
      </c>
      <c r="R914" s="449">
        <v>1</v>
      </c>
      <c r="S914" s="672">
        <v>190</v>
      </c>
      <c r="T914" s="161" t="e">
        <f t="shared" si="76"/>
        <v>#DIV/0!</v>
      </c>
      <c r="U914" s="162">
        <f>IF(S914="nio",0,IF(S914&gt;0,VLOOKUP(G914,'3-Productie normen'!A:K,VLOOKUP(S914,'3-Productie normen'!L:N,3,FALSE),FALSE)))</f>
        <v>0</v>
      </c>
      <c r="V914" s="162">
        <f>VLOOKUP(G914,'3-Productie normen'!A:K,10,FALSE)</f>
        <v>3305.8200070953367</v>
      </c>
      <c r="W914" s="163">
        <f>VLOOKUP(G914,'3-Productie normen'!A:K,11,FALSE)</f>
        <v>0</v>
      </c>
      <c r="X914" s="163"/>
      <c r="Z914" s="129">
        <f t="shared" si="77"/>
        <v>20900</v>
      </c>
    </row>
    <row r="915" spans="1:26" ht="14.1" customHeight="1">
      <c r="A915" s="144">
        <v>953</v>
      </c>
      <c r="B915" s="485" t="s">
        <v>258</v>
      </c>
      <c r="C915" s="303" t="s">
        <v>848</v>
      </c>
      <c r="D915" s="304" t="s">
        <v>98</v>
      </c>
      <c r="E915" s="694" t="s">
        <v>728</v>
      </c>
      <c r="F915" s="303" t="s">
        <v>221</v>
      </c>
      <c r="G915" s="460" t="s">
        <v>221</v>
      </c>
      <c r="H915" s="516" t="s">
        <v>100</v>
      </c>
      <c r="I915" s="582" t="str">
        <f>VLOOKUP(H915,'9a-Typen vloeren'!$A$10:$B$40,2,FALSE)</f>
        <v>Sprayen/ conserveren</v>
      </c>
      <c r="J915" s="433">
        <v>55</v>
      </c>
      <c r="K915" s="433">
        <f t="shared" si="70"/>
        <v>55</v>
      </c>
      <c r="L915" s="433">
        <f t="shared" si="71"/>
        <v>0</v>
      </c>
      <c r="M915" s="433">
        <f t="shared" si="72"/>
        <v>0</v>
      </c>
      <c r="N915" s="672"/>
      <c r="O915" s="729">
        <f>IF(N915="",0,N915*K915/'9b-Vloeronderhoud'!$F$4)</f>
        <v>0</v>
      </c>
      <c r="P915" s="672"/>
      <c r="Q915" s="729" t="e">
        <f>IF(O915="",0,P915*L915/'9b-Vloeronderhoud'!$F$6)</f>
        <v>#DIV/0!</v>
      </c>
      <c r="R915" s="449">
        <v>1</v>
      </c>
      <c r="S915" s="672">
        <v>80</v>
      </c>
      <c r="T915" s="161" t="e">
        <f t="shared" si="76"/>
        <v>#DIV/0!</v>
      </c>
      <c r="U915" s="162">
        <f>IF(S915="nio",0,IF(S915&gt;0,VLOOKUP(G915,'3-Productie normen'!A:K,VLOOKUP(S915,'3-Productie normen'!L:N,3,FALSE),FALSE)))</f>
        <v>0</v>
      </c>
      <c r="V915" s="162">
        <f>VLOOKUP(G915,'3-Productie normen'!A:K,10,FALSE)</f>
        <v>16013.110036668773</v>
      </c>
      <c r="W915" s="163">
        <f>VLOOKUP(G915,'3-Productie normen'!A:K,11,FALSE)</f>
        <v>0</v>
      </c>
      <c r="X915" s="163"/>
      <c r="Z915" s="129">
        <f t="shared" si="77"/>
        <v>4400</v>
      </c>
    </row>
    <row r="916" spans="1:26" ht="14.1" customHeight="1">
      <c r="A916" s="144">
        <v>954</v>
      </c>
      <c r="B916" s="485" t="s">
        <v>258</v>
      </c>
      <c r="C916" s="303" t="s">
        <v>848</v>
      </c>
      <c r="D916" s="304" t="s">
        <v>98</v>
      </c>
      <c r="E916" s="694" t="s">
        <v>731</v>
      </c>
      <c r="F916" s="303" t="s">
        <v>221</v>
      </c>
      <c r="G916" s="122" t="s">
        <v>221</v>
      </c>
      <c r="H916" s="303" t="s">
        <v>100</v>
      </c>
      <c r="I916" s="582" t="str">
        <f>VLOOKUP(H916,'9a-Typen vloeren'!$A$10:$B$40,2,FALSE)</f>
        <v>Sprayen/ conserveren</v>
      </c>
      <c r="J916" s="433">
        <v>58</v>
      </c>
      <c r="K916" s="433">
        <f t="shared" si="70"/>
        <v>58</v>
      </c>
      <c r="L916" s="433">
        <f t="shared" si="71"/>
        <v>0</v>
      </c>
      <c r="M916" s="433">
        <f t="shared" si="72"/>
        <v>0</v>
      </c>
      <c r="N916" s="672"/>
      <c r="O916" s="729">
        <f>IF(N916="",0,N916*K916/'9b-Vloeronderhoud'!$F$4)</f>
        <v>0</v>
      </c>
      <c r="P916" s="672"/>
      <c r="Q916" s="729" t="e">
        <f>IF(O916="",0,P916*L916/'9b-Vloeronderhoud'!$F$6)</f>
        <v>#DIV/0!</v>
      </c>
      <c r="R916" s="449">
        <v>1</v>
      </c>
      <c r="S916" s="672">
        <v>80</v>
      </c>
      <c r="T916" s="161" t="e">
        <f t="shared" si="76"/>
        <v>#DIV/0!</v>
      </c>
      <c r="U916" s="162">
        <f>IF(S916="nio",0,IF(S916&gt;0,VLOOKUP(G916,'3-Productie normen'!A:K,VLOOKUP(S916,'3-Productie normen'!L:N,3,FALSE),FALSE)))</f>
        <v>0</v>
      </c>
      <c r="V916" s="162">
        <f>VLOOKUP(G916,'3-Productie normen'!A:K,10,FALSE)</f>
        <v>16013.110036668773</v>
      </c>
      <c r="W916" s="163">
        <f>VLOOKUP(G916,'3-Productie normen'!A:K,11,FALSE)</f>
        <v>0</v>
      </c>
      <c r="X916" s="163"/>
      <c r="Z916" s="129">
        <f t="shared" si="77"/>
        <v>4640</v>
      </c>
    </row>
    <row r="917" spans="1:26" ht="14.1" customHeight="1">
      <c r="A917" s="144">
        <v>955</v>
      </c>
      <c r="B917" s="485" t="s">
        <v>258</v>
      </c>
      <c r="C917" s="303" t="s">
        <v>848</v>
      </c>
      <c r="D917" s="304" t="s">
        <v>98</v>
      </c>
      <c r="E917" s="694" t="s">
        <v>729</v>
      </c>
      <c r="F917" s="303" t="s">
        <v>221</v>
      </c>
      <c r="G917" s="546" t="s">
        <v>221</v>
      </c>
      <c r="H917" s="303" t="s">
        <v>100</v>
      </c>
      <c r="I917" s="582" t="str">
        <f>VLOOKUP(H917,'9a-Typen vloeren'!$A$10:$B$40,2,FALSE)</f>
        <v>Sprayen/ conserveren</v>
      </c>
      <c r="J917" s="433">
        <v>55</v>
      </c>
      <c r="K917" s="433">
        <f t="shared" si="70"/>
        <v>55</v>
      </c>
      <c r="L917" s="433">
        <f t="shared" si="71"/>
        <v>0</v>
      </c>
      <c r="M917" s="433">
        <f t="shared" si="72"/>
        <v>0</v>
      </c>
      <c r="N917" s="672"/>
      <c r="O917" s="729">
        <f>IF(N917="",0,N917*K917/'9b-Vloeronderhoud'!$F$4)</f>
        <v>0</v>
      </c>
      <c r="P917" s="672"/>
      <c r="Q917" s="729" t="e">
        <f>IF(O917="",0,P917*L917/'9b-Vloeronderhoud'!$F$6)</f>
        <v>#DIV/0!</v>
      </c>
      <c r="R917" s="449">
        <v>1</v>
      </c>
      <c r="S917" s="672">
        <v>80</v>
      </c>
      <c r="T917" s="161" t="e">
        <f t="shared" si="76"/>
        <v>#DIV/0!</v>
      </c>
      <c r="U917" s="162">
        <f>IF(S917="nio",0,IF(S917&gt;0,VLOOKUP(G917,'3-Productie normen'!A:K,VLOOKUP(S917,'3-Productie normen'!L:N,3,FALSE),FALSE)))</f>
        <v>0</v>
      </c>
      <c r="V917" s="162">
        <f>VLOOKUP(G917,'3-Productie normen'!A:K,10,FALSE)</f>
        <v>16013.110036668773</v>
      </c>
      <c r="W917" s="163">
        <f>VLOOKUP(G917,'3-Productie normen'!A:K,11,FALSE)</f>
        <v>0</v>
      </c>
      <c r="X917" s="163"/>
      <c r="Z917" s="129">
        <f t="shared" si="77"/>
        <v>4400</v>
      </c>
    </row>
    <row r="918" spans="1:26" ht="14.1" customHeight="1">
      <c r="A918" s="144">
        <v>956</v>
      </c>
      <c r="B918" s="485" t="s">
        <v>258</v>
      </c>
      <c r="C918" s="303" t="s">
        <v>848</v>
      </c>
      <c r="D918" s="304" t="s">
        <v>98</v>
      </c>
      <c r="E918" s="694" t="s">
        <v>732</v>
      </c>
      <c r="F918" s="303" t="s">
        <v>221</v>
      </c>
      <c r="G918" s="460" t="s">
        <v>221</v>
      </c>
      <c r="H918" s="303" t="s">
        <v>100</v>
      </c>
      <c r="I918" s="582" t="str">
        <f>VLOOKUP(H918,'9a-Typen vloeren'!$A$10:$B$40,2,FALSE)</f>
        <v>Sprayen/ conserveren</v>
      </c>
      <c r="J918" s="433">
        <v>57</v>
      </c>
      <c r="K918" s="433">
        <f t="shared" si="70"/>
        <v>57</v>
      </c>
      <c r="L918" s="433">
        <f t="shared" si="71"/>
        <v>0</v>
      </c>
      <c r="M918" s="433">
        <f t="shared" si="72"/>
        <v>0</v>
      </c>
      <c r="N918" s="672"/>
      <c r="O918" s="729">
        <f>IF(N918="",0,N918*K918/'9b-Vloeronderhoud'!$F$4)</f>
        <v>0</v>
      </c>
      <c r="P918" s="672"/>
      <c r="Q918" s="729" t="e">
        <f>IF(O918="",0,P918*L918/'9b-Vloeronderhoud'!$F$6)</f>
        <v>#DIV/0!</v>
      </c>
      <c r="R918" s="449">
        <v>1</v>
      </c>
      <c r="S918" s="672">
        <v>80</v>
      </c>
      <c r="T918" s="161" t="e">
        <f t="shared" si="76"/>
        <v>#DIV/0!</v>
      </c>
      <c r="U918" s="162">
        <f>IF(S918="nio",0,IF(S918&gt;0,VLOOKUP(G918,'3-Productie normen'!A:K,VLOOKUP(S918,'3-Productie normen'!L:N,3,FALSE),FALSE)))</f>
        <v>0</v>
      </c>
      <c r="V918" s="162">
        <f>VLOOKUP(G918,'3-Productie normen'!A:K,10,FALSE)</f>
        <v>16013.110036668773</v>
      </c>
      <c r="W918" s="163">
        <f>VLOOKUP(G918,'3-Productie normen'!A:K,11,FALSE)</f>
        <v>0</v>
      </c>
      <c r="X918" s="163"/>
      <c r="Z918" s="129">
        <f t="shared" si="77"/>
        <v>4560</v>
      </c>
    </row>
    <row r="919" spans="1:26" ht="14.1" customHeight="1">
      <c r="A919" s="144">
        <v>957</v>
      </c>
      <c r="B919" s="485" t="s">
        <v>258</v>
      </c>
      <c r="C919" s="303" t="s">
        <v>848</v>
      </c>
      <c r="D919" s="304" t="s">
        <v>98</v>
      </c>
      <c r="E919" s="694" t="s">
        <v>309</v>
      </c>
      <c r="F919" s="303" t="s">
        <v>221</v>
      </c>
      <c r="G919" s="546" t="s">
        <v>221</v>
      </c>
      <c r="H919" s="303" t="s">
        <v>100</v>
      </c>
      <c r="I919" s="582" t="str">
        <f>VLOOKUP(H919,'9a-Typen vloeren'!$A$10:$B$40,2,FALSE)</f>
        <v>Sprayen/ conserveren</v>
      </c>
      <c r="J919" s="433">
        <v>57</v>
      </c>
      <c r="K919" s="433">
        <f t="shared" si="70"/>
        <v>57</v>
      </c>
      <c r="L919" s="433">
        <f t="shared" si="71"/>
        <v>0</v>
      </c>
      <c r="M919" s="433">
        <f t="shared" si="72"/>
        <v>0</v>
      </c>
      <c r="N919" s="672"/>
      <c r="O919" s="729">
        <f>IF(N919="",0,N919*K919/'9b-Vloeronderhoud'!$F$4)</f>
        <v>0</v>
      </c>
      <c r="P919" s="672"/>
      <c r="Q919" s="729" t="e">
        <f>IF(O919="",0,P919*L919/'9b-Vloeronderhoud'!$F$6)</f>
        <v>#DIV/0!</v>
      </c>
      <c r="R919" s="449">
        <v>1</v>
      </c>
      <c r="S919" s="672">
        <v>80</v>
      </c>
      <c r="T919" s="161" t="e">
        <f t="shared" si="76"/>
        <v>#DIV/0!</v>
      </c>
      <c r="U919" s="162">
        <f>IF(S919="nio",0,IF(S919&gt;0,VLOOKUP(G919,'3-Productie normen'!A:K,VLOOKUP(S919,'3-Productie normen'!L:N,3,FALSE),FALSE)))</f>
        <v>0</v>
      </c>
      <c r="V919" s="162">
        <f>VLOOKUP(G919,'3-Productie normen'!A:K,10,FALSE)</f>
        <v>16013.110036668773</v>
      </c>
      <c r="W919" s="163">
        <f>VLOOKUP(G919,'3-Productie normen'!A:K,11,FALSE)</f>
        <v>0</v>
      </c>
      <c r="X919" s="163"/>
      <c r="Z919" s="129">
        <f t="shared" si="77"/>
        <v>4560</v>
      </c>
    </row>
    <row r="920" spans="1:26" ht="14.1" customHeight="1">
      <c r="A920" s="144">
        <v>958</v>
      </c>
      <c r="B920" s="485" t="s">
        <v>258</v>
      </c>
      <c r="C920" s="303" t="s">
        <v>848</v>
      </c>
      <c r="D920" s="304" t="s">
        <v>98</v>
      </c>
      <c r="E920" s="694" t="s">
        <v>311</v>
      </c>
      <c r="F920" s="303" t="s">
        <v>221</v>
      </c>
      <c r="G920" s="460" t="s">
        <v>221</v>
      </c>
      <c r="H920" s="303" t="s">
        <v>100</v>
      </c>
      <c r="I920" s="582" t="str">
        <f>VLOOKUP(H920,'9a-Typen vloeren'!$A$10:$B$40,2,FALSE)</f>
        <v>Sprayen/ conserveren</v>
      </c>
      <c r="J920" s="433">
        <v>58</v>
      </c>
      <c r="K920" s="433">
        <f t="shared" si="70"/>
        <v>58</v>
      </c>
      <c r="L920" s="433">
        <f t="shared" si="71"/>
        <v>0</v>
      </c>
      <c r="M920" s="433">
        <f t="shared" si="72"/>
        <v>0</v>
      </c>
      <c r="N920" s="672"/>
      <c r="O920" s="729">
        <f>IF(N920="",0,N920*K920/'9b-Vloeronderhoud'!$F$4)</f>
        <v>0</v>
      </c>
      <c r="P920" s="672"/>
      <c r="Q920" s="729" t="e">
        <f>IF(O920="",0,P920*L920/'9b-Vloeronderhoud'!$F$6)</f>
        <v>#DIV/0!</v>
      </c>
      <c r="R920" s="449">
        <v>1</v>
      </c>
      <c r="S920" s="672">
        <v>80</v>
      </c>
      <c r="T920" s="161" t="e">
        <f t="shared" si="76"/>
        <v>#DIV/0!</v>
      </c>
      <c r="U920" s="162">
        <f>IF(S920="nio",0,IF(S920&gt;0,VLOOKUP(G920,'3-Productie normen'!A:K,VLOOKUP(S920,'3-Productie normen'!L:N,3,FALSE),FALSE)))</f>
        <v>0</v>
      </c>
      <c r="V920" s="162">
        <f>VLOOKUP(G920,'3-Productie normen'!A:K,10,FALSE)</f>
        <v>16013.110036668773</v>
      </c>
      <c r="W920" s="163">
        <f>VLOOKUP(G920,'3-Productie normen'!A:K,11,FALSE)</f>
        <v>0</v>
      </c>
      <c r="X920" s="163"/>
      <c r="Z920" s="129">
        <f t="shared" si="77"/>
        <v>4640</v>
      </c>
    </row>
    <row r="921" spans="1:26" ht="14.1" customHeight="1">
      <c r="A921" s="144">
        <v>959</v>
      </c>
      <c r="B921" s="485" t="s">
        <v>258</v>
      </c>
      <c r="C921" s="303" t="s">
        <v>848</v>
      </c>
      <c r="D921" s="304" t="s">
        <v>98</v>
      </c>
      <c r="E921" s="694" t="s">
        <v>312</v>
      </c>
      <c r="F921" s="303" t="s">
        <v>221</v>
      </c>
      <c r="G921" s="460" t="s">
        <v>221</v>
      </c>
      <c r="H921" s="303" t="s">
        <v>100</v>
      </c>
      <c r="I921" s="582" t="str">
        <f>VLOOKUP(H921,'9a-Typen vloeren'!$A$10:$B$40,2,FALSE)</f>
        <v>Sprayen/ conserveren</v>
      </c>
      <c r="J921" s="433">
        <v>58</v>
      </c>
      <c r="K921" s="433">
        <f t="shared" si="70"/>
        <v>58</v>
      </c>
      <c r="L921" s="433">
        <f t="shared" si="71"/>
        <v>0</v>
      </c>
      <c r="M921" s="433">
        <f t="shared" si="72"/>
        <v>0</v>
      </c>
      <c r="N921" s="672"/>
      <c r="O921" s="729">
        <f>IF(N921="",0,N921*K921/'9b-Vloeronderhoud'!$F$4)</f>
        <v>0</v>
      </c>
      <c r="P921" s="672"/>
      <c r="Q921" s="729" t="e">
        <f>IF(O921="",0,P921*L921/'9b-Vloeronderhoud'!$F$6)</f>
        <v>#DIV/0!</v>
      </c>
      <c r="R921" s="449">
        <v>1</v>
      </c>
      <c r="S921" s="688" t="s">
        <v>179</v>
      </c>
      <c r="T921" s="161">
        <f t="shared" si="76"/>
        <v>0</v>
      </c>
      <c r="U921" s="162">
        <f>IF(S921="nio",0,IF(S921&gt;0,VLOOKUP(G921,'3-Productie normen'!A:K,VLOOKUP(S921,'3-Productie normen'!L:N,3,FALSE),FALSE)))</f>
        <v>0</v>
      </c>
      <c r="V921" s="162">
        <f>VLOOKUP(G921,'3-Productie normen'!A:K,10,FALSE)</f>
        <v>16013.110036668773</v>
      </c>
      <c r="W921" s="163">
        <f>VLOOKUP(G921,'3-Productie normen'!A:K,11,FALSE)</f>
        <v>0</v>
      </c>
      <c r="X921" s="163"/>
      <c r="Z921" s="129">
        <f t="shared" si="77"/>
        <v>0</v>
      </c>
    </row>
    <row r="922" spans="1:26" ht="14.1" customHeight="1">
      <c r="A922" s="144">
        <v>960</v>
      </c>
      <c r="B922" s="485" t="s">
        <v>258</v>
      </c>
      <c r="C922" s="303" t="s">
        <v>848</v>
      </c>
      <c r="D922" s="304" t="s">
        <v>98</v>
      </c>
      <c r="E922" s="694" t="s">
        <v>314</v>
      </c>
      <c r="F922" s="303" t="s">
        <v>656</v>
      </c>
      <c r="G922" s="126" t="s">
        <v>279</v>
      </c>
      <c r="H922" s="303" t="s">
        <v>100</v>
      </c>
      <c r="I922" s="582" t="str">
        <f>VLOOKUP(H922,'9a-Typen vloeren'!$A$10:$B$40,2,FALSE)</f>
        <v>Sprayen/ conserveren</v>
      </c>
      <c r="J922" s="433">
        <v>57</v>
      </c>
      <c r="K922" s="433">
        <f t="shared" si="70"/>
        <v>57</v>
      </c>
      <c r="L922" s="433">
        <f t="shared" si="71"/>
        <v>0</v>
      </c>
      <c r="M922" s="433">
        <f t="shared" si="72"/>
        <v>0</v>
      </c>
      <c r="N922" s="672"/>
      <c r="O922" s="729">
        <f>IF(N922="",0,N922*K922/'9b-Vloeronderhoud'!$F$4)</f>
        <v>0</v>
      </c>
      <c r="P922" s="672"/>
      <c r="Q922" s="729" t="e">
        <f>IF(O922="",0,P922*L922/'9b-Vloeronderhoud'!$F$6)</f>
        <v>#DIV/0!</v>
      </c>
      <c r="R922" s="449">
        <v>1</v>
      </c>
      <c r="S922" s="672">
        <v>190</v>
      </c>
      <c r="T922" s="161" t="e">
        <f t="shared" si="76"/>
        <v>#DIV/0!</v>
      </c>
      <c r="U922" s="162">
        <f>IF(S922="nio",0,IF(S922&gt;0,VLOOKUP(G922,'3-Productie normen'!A:K,VLOOKUP(S922,'3-Productie normen'!L:N,3,FALSE),FALSE)))</f>
        <v>0</v>
      </c>
      <c r="V922" s="162">
        <f>VLOOKUP(G922,'3-Productie normen'!A:K,10,FALSE)</f>
        <v>648.99999618530273</v>
      </c>
      <c r="W922" s="163">
        <f>VLOOKUP(G922,'3-Productie normen'!A:K,11,FALSE)</f>
        <v>0</v>
      </c>
      <c r="X922" s="163"/>
      <c r="Z922" s="129">
        <f t="shared" si="77"/>
        <v>10830</v>
      </c>
    </row>
    <row r="923" spans="1:26" ht="14.1" customHeight="1">
      <c r="A923" s="144">
        <v>961</v>
      </c>
      <c r="B923" s="485" t="s">
        <v>258</v>
      </c>
      <c r="C923" s="303" t="s">
        <v>848</v>
      </c>
      <c r="D923" s="304" t="s">
        <v>98</v>
      </c>
      <c r="E923" s="694" t="s">
        <v>315</v>
      </c>
      <c r="F923" s="494" t="s">
        <v>656</v>
      </c>
      <c r="G923" s="122" t="s">
        <v>279</v>
      </c>
      <c r="H923" s="303" t="s">
        <v>100</v>
      </c>
      <c r="I923" s="582" t="str">
        <f>VLOOKUP(H923,'9a-Typen vloeren'!$A$10:$B$40,2,FALSE)</f>
        <v>Sprayen/ conserveren</v>
      </c>
      <c r="J923" s="433">
        <v>51</v>
      </c>
      <c r="K923" s="433">
        <f t="shared" si="70"/>
        <v>51</v>
      </c>
      <c r="L923" s="433">
        <f t="shared" si="71"/>
        <v>0</v>
      </c>
      <c r="M923" s="433">
        <f t="shared" si="72"/>
        <v>0</v>
      </c>
      <c r="N923" s="672"/>
      <c r="O923" s="729">
        <f>IF(N923="",0,N923*K923/'9b-Vloeronderhoud'!$F$4)</f>
        <v>0</v>
      </c>
      <c r="P923" s="672"/>
      <c r="Q923" s="729" t="e">
        <f>IF(O923="",0,P923*L923/'9b-Vloeronderhoud'!$F$6)</f>
        <v>#DIV/0!</v>
      </c>
      <c r="R923" s="449">
        <v>1</v>
      </c>
      <c r="S923" s="672">
        <v>190</v>
      </c>
      <c r="T923" s="161" t="e">
        <f t="shared" si="76"/>
        <v>#DIV/0!</v>
      </c>
      <c r="U923" s="162">
        <f>IF(S923="nio",0,IF(S923&gt;0,VLOOKUP(G923,'3-Productie normen'!A:K,VLOOKUP(S923,'3-Productie normen'!L:N,3,FALSE),FALSE)))</f>
        <v>0</v>
      </c>
      <c r="V923" s="162">
        <f>VLOOKUP(G923,'3-Productie normen'!A:K,10,FALSE)</f>
        <v>648.99999618530273</v>
      </c>
      <c r="W923" s="163">
        <f>VLOOKUP(G923,'3-Productie normen'!A:K,11,FALSE)</f>
        <v>0</v>
      </c>
      <c r="X923" s="163"/>
      <c r="Z923" s="129">
        <f t="shared" si="77"/>
        <v>9690</v>
      </c>
    </row>
    <row r="924" spans="1:26" ht="14.1" customHeight="1">
      <c r="A924" s="144">
        <v>962</v>
      </c>
      <c r="B924" s="485" t="s">
        <v>258</v>
      </c>
      <c r="C924" s="303" t="s">
        <v>848</v>
      </c>
      <c r="D924" s="304" t="s">
        <v>98</v>
      </c>
      <c r="E924" s="694" t="s">
        <v>317</v>
      </c>
      <c r="F924" s="303" t="s">
        <v>221</v>
      </c>
      <c r="G924" s="122" t="s">
        <v>221</v>
      </c>
      <c r="H924" s="303" t="s">
        <v>847</v>
      </c>
      <c r="I924" s="582" t="s">
        <v>952</v>
      </c>
      <c r="J924" s="433">
        <v>50.700000762939453</v>
      </c>
      <c r="K924" s="433">
        <f t="shared" si="70"/>
        <v>0</v>
      </c>
      <c r="L924" s="433">
        <f t="shared" si="71"/>
        <v>50.700000762939453</v>
      </c>
      <c r="M924" s="433">
        <f t="shared" si="72"/>
        <v>0</v>
      </c>
      <c r="N924" s="672"/>
      <c r="O924" s="729">
        <f>IF(N924="",0,N924*K924/'9b-Vloeronderhoud'!$F$4)</f>
        <v>0</v>
      </c>
      <c r="P924" s="672"/>
      <c r="Q924" s="729" t="e">
        <f>IF(O924="",0,P924*L924/'9b-Vloeronderhoud'!$F$6)</f>
        <v>#DIV/0!</v>
      </c>
      <c r="R924" s="449">
        <v>1</v>
      </c>
      <c r="S924" s="688" t="s">
        <v>179</v>
      </c>
      <c r="T924" s="161">
        <f t="shared" si="76"/>
        <v>0</v>
      </c>
      <c r="U924" s="162">
        <f>IF(S924="nio",0,IF(S924&gt;0,VLOOKUP(G924,'3-Productie normen'!A:K,VLOOKUP(S924,'3-Productie normen'!L:N,3,FALSE),FALSE)))</f>
        <v>0</v>
      </c>
      <c r="V924" s="162">
        <f>VLOOKUP(G924,'3-Productie normen'!A:K,10,FALSE)</f>
        <v>16013.110036668773</v>
      </c>
      <c r="W924" s="163">
        <f>VLOOKUP(G924,'3-Productie normen'!A:K,11,FALSE)</f>
        <v>0</v>
      </c>
      <c r="X924" s="163"/>
      <c r="Z924" s="129">
        <f t="shared" si="77"/>
        <v>0</v>
      </c>
    </row>
    <row r="925" spans="1:26" ht="14.1" customHeight="1">
      <c r="A925" s="144">
        <v>963</v>
      </c>
      <c r="B925" s="485" t="s">
        <v>258</v>
      </c>
      <c r="C925" s="303" t="s">
        <v>848</v>
      </c>
      <c r="D925" s="304" t="s">
        <v>98</v>
      </c>
      <c r="E925" s="694" t="s">
        <v>318</v>
      </c>
      <c r="F925" s="303" t="s">
        <v>221</v>
      </c>
      <c r="G925" s="460" t="s">
        <v>221</v>
      </c>
      <c r="H925" s="303" t="s">
        <v>847</v>
      </c>
      <c r="I925" s="582" t="s">
        <v>952</v>
      </c>
      <c r="J925" s="433">
        <v>50.700000762939453</v>
      </c>
      <c r="K925" s="433">
        <f t="shared" si="70"/>
        <v>0</v>
      </c>
      <c r="L925" s="433">
        <f t="shared" si="71"/>
        <v>50.700000762939453</v>
      </c>
      <c r="M925" s="433">
        <f t="shared" si="72"/>
        <v>0</v>
      </c>
      <c r="N925" s="672"/>
      <c r="O925" s="729">
        <f>IF(N925="",0,N925*K925/'9b-Vloeronderhoud'!$F$4)</f>
        <v>0</v>
      </c>
      <c r="P925" s="672"/>
      <c r="Q925" s="729" t="e">
        <f>IF(O925="",0,P925*L925/'9b-Vloeronderhoud'!$F$6)</f>
        <v>#DIV/0!</v>
      </c>
      <c r="R925" s="449">
        <v>1</v>
      </c>
      <c r="S925" s="688" t="s">
        <v>179</v>
      </c>
      <c r="T925" s="161">
        <f t="shared" si="76"/>
        <v>0</v>
      </c>
      <c r="U925" s="162">
        <f>IF(S925="nio",0,IF(S925&gt;0,VLOOKUP(G925,'3-Productie normen'!A:K,VLOOKUP(S925,'3-Productie normen'!L:N,3,FALSE),FALSE)))</f>
        <v>0</v>
      </c>
      <c r="V925" s="162">
        <f>VLOOKUP(G925,'3-Productie normen'!A:K,10,FALSE)</f>
        <v>16013.110036668773</v>
      </c>
      <c r="W925" s="163">
        <f>VLOOKUP(G925,'3-Productie normen'!A:K,11,FALSE)</f>
        <v>0</v>
      </c>
      <c r="X925" s="163"/>
      <c r="Z925" s="129">
        <f t="shared" si="77"/>
        <v>0</v>
      </c>
    </row>
    <row r="926" spans="1:26" ht="14.1" customHeight="1">
      <c r="A926" s="144">
        <v>964</v>
      </c>
      <c r="B926" s="485" t="s">
        <v>258</v>
      </c>
      <c r="C926" s="303" t="s">
        <v>848</v>
      </c>
      <c r="D926" s="304" t="s">
        <v>98</v>
      </c>
      <c r="E926" s="694" t="s">
        <v>319</v>
      </c>
      <c r="F926" s="303" t="s">
        <v>730</v>
      </c>
      <c r="G926" s="460" t="s">
        <v>286</v>
      </c>
      <c r="H926" s="303" t="s">
        <v>100</v>
      </c>
      <c r="I926" s="582" t="str">
        <f>VLOOKUP(H926,'9a-Typen vloeren'!$A$10:$B$40,2,FALSE)</f>
        <v>Sprayen/ conserveren</v>
      </c>
      <c r="J926" s="433">
        <v>135</v>
      </c>
      <c r="K926" s="433">
        <f t="shared" si="70"/>
        <v>135</v>
      </c>
      <c r="L926" s="433">
        <f t="shared" si="71"/>
        <v>0</v>
      </c>
      <c r="M926" s="433">
        <f t="shared" si="72"/>
        <v>0</v>
      </c>
      <c r="N926" s="672">
        <v>2</v>
      </c>
      <c r="O926" s="729" t="e">
        <f>IF(N926="",0,N926*K926/'9b-Vloeronderhoud'!$F$4)</f>
        <v>#DIV/0!</v>
      </c>
      <c r="P926" s="672"/>
      <c r="Q926" s="729" t="e">
        <f>IF(O926="",0,P926*L926/'9b-Vloeronderhoud'!$F$6)</f>
        <v>#DIV/0!</v>
      </c>
      <c r="R926" s="449">
        <v>1</v>
      </c>
      <c r="S926" s="672">
        <v>80</v>
      </c>
      <c r="T926" s="161" t="e">
        <f t="shared" si="76"/>
        <v>#DIV/0!</v>
      </c>
      <c r="U926" s="162">
        <f>IF(S926="nio",0,IF(S926&gt;0,VLOOKUP(G926,'3-Productie normen'!A:K,VLOOKUP(S926,'3-Productie normen'!L:N,3,FALSE),FALSE)))</f>
        <v>0</v>
      </c>
      <c r="V926" s="162">
        <f>VLOOKUP(G926,'3-Productie normen'!A:K,10,FALSE)</f>
        <v>6152.9500017547598</v>
      </c>
      <c r="W926" s="163">
        <f>VLOOKUP(G926,'3-Productie normen'!A:K,11,FALSE)</f>
        <v>0</v>
      </c>
      <c r="X926" s="163"/>
      <c r="Z926" s="129">
        <f t="shared" si="77"/>
        <v>10800</v>
      </c>
    </row>
    <row r="927" spans="1:26" ht="14.1" customHeight="1">
      <c r="A927" s="144">
        <v>965</v>
      </c>
      <c r="B927" s="485" t="s">
        <v>258</v>
      </c>
      <c r="C927" s="303" t="s">
        <v>848</v>
      </c>
      <c r="D927" s="304" t="s">
        <v>98</v>
      </c>
      <c r="E927" s="694" t="s">
        <v>320</v>
      </c>
      <c r="F927" s="303" t="s">
        <v>99</v>
      </c>
      <c r="G927" s="460" t="s">
        <v>99</v>
      </c>
      <c r="H927" s="303" t="s">
        <v>332</v>
      </c>
      <c r="I927" s="582" t="str">
        <f>VLOOKUP(H927,'9a-Typen vloeren'!$A$10:$B$40,2,FALSE)</f>
        <v>Sproei/extraheren</v>
      </c>
      <c r="J927" s="433">
        <v>18</v>
      </c>
      <c r="K927" s="433">
        <f t="shared" si="70"/>
        <v>0</v>
      </c>
      <c r="L927" s="433">
        <f t="shared" si="71"/>
        <v>0</v>
      </c>
      <c r="M927" s="433">
        <f t="shared" si="72"/>
        <v>18</v>
      </c>
      <c r="N927" s="672"/>
      <c r="O927" s="729">
        <f>IF(N927="",0,N927*K927/'9b-Vloeronderhoud'!$F$4)</f>
        <v>0</v>
      </c>
      <c r="P927" s="672"/>
      <c r="Q927" s="729" t="e">
        <f>IF(O927="",0,P927*L927/'9b-Vloeronderhoud'!$F$6)</f>
        <v>#DIV/0!</v>
      </c>
      <c r="R927" s="449">
        <v>1</v>
      </c>
      <c r="S927" s="672">
        <v>190</v>
      </c>
      <c r="T927" s="161" t="e">
        <f t="shared" si="76"/>
        <v>#DIV/0!</v>
      </c>
      <c r="U927" s="162">
        <f>IF(S927="nio",0,IF(S927&gt;0,VLOOKUP(G927,'3-Productie normen'!A:K,VLOOKUP(S927,'3-Productie normen'!L:N,3,FALSE),FALSE)))</f>
        <v>0</v>
      </c>
      <c r="V927" s="162">
        <f>VLOOKUP(G927,'3-Productie normen'!A:K,10,FALSE)</f>
        <v>726.97999910354622</v>
      </c>
      <c r="W927" s="163">
        <f>VLOOKUP(G927,'3-Productie normen'!A:K,11,FALSE)</f>
        <v>0</v>
      </c>
      <c r="X927" s="163"/>
      <c r="Z927" s="129">
        <f t="shared" si="77"/>
        <v>3420</v>
      </c>
    </row>
    <row r="928" spans="1:26" ht="14.1" customHeight="1">
      <c r="A928" s="144">
        <v>966</v>
      </c>
      <c r="B928" s="485" t="s">
        <v>258</v>
      </c>
      <c r="C928" s="303" t="s">
        <v>848</v>
      </c>
      <c r="D928" s="304" t="s">
        <v>98</v>
      </c>
      <c r="E928" s="694" t="s">
        <v>633</v>
      </c>
      <c r="F928" s="303" t="s">
        <v>283</v>
      </c>
      <c r="G928" s="460" t="s">
        <v>286</v>
      </c>
      <c r="H928" s="303" t="s">
        <v>332</v>
      </c>
      <c r="I928" s="582" t="str">
        <f>VLOOKUP(H928,'9a-Typen vloeren'!$A$10:$B$40,2,FALSE)</f>
        <v>Sproei/extraheren</v>
      </c>
      <c r="J928" s="433">
        <v>6</v>
      </c>
      <c r="K928" s="433">
        <f t="shared" si="70"/>
        <v>0</v>
      </c>
      <c r="L928" s="433">
        <f t="shared" si="71"/>
        <v>0</v>
      </c>
      <c r="M928" s="433">
        <f t="shared" si="72"/>
        <v>6</v>
      </c>
      <c r="N928" s="672"/>
      <c r="O928" s="729">
        <f>IF(N928="",0,N928*K928/'9b-Vloeronderhoud'!$F$4)</f>
        <v>0</v>
      </c>
      <c r="P928" s="672"/>
      <c r="Q928" s="729" t="e">
        <f>IF(O928="",0,P928*L928/'9b-Vloeronderhoud'!$F$6)</f>
        <v>#DIV/0!</v>
      </c>
      <c r="R928" s="449">
        <v>1</v>
      </c>
      <c r="S928" s="672">
        <v>120</v>
      </c>
      <c r="T928" s="161" t="e">
        <f t="shared" si="76"/>
        <v>#DIV/0!</v>
      </c>
      <c r="U928" s="162">
        <f>IF(S928="nio",0,IF(S928&gt;0,VLOOKUP(G928,'3-Productie normen'!A:K,VLOOKUP(S928,'3-Productie normen'!L:N,3,FALSE),FALSE)))</f>
        <v>0</v>
      </c>
      <c r="V928" s="162">
        <f>VLOOKUP(G928,'3-Productie normen'!A:K,10,FALSE)</f>
        <v>6152.9500017547598</v>
      </c>
      <c r="W928" s="163">
        <f>VLOOKUP(G928,'3-Productie normen'!A:K,11,FALSE)</f>
        <v>0</v>
      </c>
      <c r="X928" s="163"/>
      <c r="Z928" s="129">
        <f t="shared" si="77"/>
        <v>720</v>
      </c>
    </row>
    <row r="929" spans="1:26" ht="14.1" customHeight="1">
      <c r="A929" s="144">
        <v>967</v>
      </c>
      <c r="B929" s="485" t="s">
        <v>258</v>
      </c>
      <c r="C929" s="303" t="s">
        <v>848</v>
      </c>
      <c r="D929" s="304" t="s">
        <v>98</v>
      </c>
      <c r="E929" s="694" t="s">
        <v>321</v>
      </c>
      <c r="F929" s="303" t="s">
        <v>297</v>
      </c>
      <c r="G929" s="122" t="s">
        <v>189</v>
      </c>
      <c r="H929" s="303" t="s">
        <v>332</v>
      </c>
      <c r="I929" s="582" t="str">
        <f>VLOOKUP(H929,'9a-Typen vloeren'!$A$10:$B$40,2,FALSE)</f>
        <v>Sproei/extraheren</v>
      </c>
      <c r="J929" s="433">
        <v>22</v>
      </c>
      <c r="K929" s="433">
        <f t="shared" si="70"/>
        <v>0</v>
      </c>
      <c r="L929" s="433">
        <f t="shared" si="71"/>
        <v>0</v>
      </c>
      <c r="M929" s="433">
        <f t="shared" si="72"/>
        <v>22</v>
      </c>
      <c r="N929" s="672"/>
      <c r="O929" s="729">
        <f>IF(N929="",0,N929*K929/'9b-Vloeronderhoud'!$F$4)</f>
        <v>0</v>
      </c>
      <c r="P929" s="672"/>
      <c r="Q929" s="729" t="e">
        <f>IF(O929="",0,P929*L929/'9b-Vloeronderhoud'!$F$6)</f>
        <v>#DIV/0!</v>
      </c>
      <c r="R929" s="449">
        <v>1</v>
      </c>
      <c r="S929" s="675">
        <v>40</v>
      </c>
      <c r="T929" s="161" t="e">
        <f t="shared" si="76"/>
        <v>#DIV/0!</v>
      </c>
      <c r="U929" s="162">
        <f>IF(S929="nio",0,IF(S929&gt;0,VLOOKUP(G929,'3-Productie normen'!A:K,VLOOKUP(S929,'3-Productie normen'!L:N,3,FALSE),FALSE)))</f>
        <v>0</v>
      </c>
      <c r="V929" s="162">
        <f>VLOOKUP(G929,'3-Productie normen'!A:K,10,FALSE)</f>
        <v>1494.1700078582762</v>
      </c>
      <c r="W929" s="163">
        <f>VLOOKUP(G929,'3-Productie normen'!A:K,11,FALSE)</f>
        <v>0</v>
      </c>
      <c r="X929" s="163"/>
      <c r="Z929" s="129">
        <f t="shared" si="77"/>
        <v>880</v>
      </c>
    </row>
    <row r="930" spans="1:26" ht="14.1" customHeight="1">
      <c r="A930" s="144">
        <v>968</v>
      </c>
      <c r="B930" s="485" t="s">
        <v>258</v>
      </c>
      <c r="C930" s="303" t="s">
        <v>848</v>
      </c>
      <c r="D930" s="304" t="s">
        <v>98</v>
      </c>
      <c r="E930" s="694" t="s">
        <v>323</v>
      </c>
      <c r="F930" s="303" t="s">
        <v>302</v>
      </c>
      <c r="G930" s="4" t="s">
        <v>18</v>
      </c>
      <c r="H930" s="534" t="s">
        <v>954</v>
      </c>
      <c r="I930" s="582" t="str">
        <f>VLOOKUP(H930,'9a-Typen vloeren'!$A$10:$B$40,2,FALSE)</f>
        <v>zie kwaliteitsontwerp</v>
      </c>
      <c r="J930" s="433">
        <v>7.5</v>
      </c>
      <c r="K930" s="433">
        <f t="shared" si="70"/>
        <v>0</v>
      </c>
      <c r="L930" s="433">
        <f t="shared" si="71"/>
        <v>0</v>
      </c>
      <c r="M930" s="433">
        <f t="shared" si="72"/>
        <v>0</v>
      </c>
      <c r="N930" s="672"/>
      <c r="O930" s="729">
        <f>IF(N930="",0,N930*K930/'9b-Vloeronderhoud'!$F$4)</f>
        <v>0</v>
      </c>
      <c r="P930" s="672"/>
      <c r="Q930" s="729" t="e">
        <f>IF(O930="",0,P930*L930/'9b-Vloeronderhoud'!$F$6)</f>
        <v>#DIV/0!</v>
      </c>
      <c r="R930" s="449">
        <v>1</v>
      </c>
      <c r="S930" s="672">
        <v>190</v>
      </c>
      <c r="T930" s="161" t="e">
        <f t="shared" si="76"/>
        <v>#DIV/0!</v>
      </c>
      <c r="U930" s="162">
        <f>IF(S930="nio",0,IF(S930&gt;0,VLOOKUP(G930,'3-Productie normen'!A:K,VLOOKUP(S930,'3-Productie normen'!L:N,3,FALSE),FALSE)))</f>
        <v>0</v>
      </c>
      <c r="V930" s="162">
        <f>VLOOKUP(G930,'3-Productie normen'!A:K,10,FALSE)</f>
        <v>1859.5880019121171</v>
      </c>
      <c r="W930" s="163">
        <f>VLOOKUP(G930,'3-Productie normen'!A:K,11,FALSE)</f>
        <v>0</v>
      </c>
      <c r="X930" s="163"/>
      <c r="Z930" s="129">
        <f t="shared" si="77"/>
        <v>1425</v>
      </c>
    </row>
    <row r="931" spans="1:26" ht="14.1" customHeight="1">
      <c r="A931" s="144">
        <v>969</v>
      </c>
      <c r="B931" s="485" t="s">
        <v>258</v>
      </c>
      <c r="C931" s="303" t="s">
        <v>848</v>
      </c>
      <c r="D931" s="304" t="s">
        <v>98</v>
      </c>
      <c r="E931" s="694" t="s">
        <v>325</v>
      </c>
      <c r="F931" s="303" t="s">
        <v>302</v>
      </c>
      <c r="G931" s="303" t="s">
        <v>18</v>
      </c>
      <c r="H931" s="534" t="s">
        <v>954</v>
      </c>
      <c r="I931" s="582" t="str">
        <f>VLOOKUP(H931,'9a-Typen vloeren'!$A$10:$B$40,2,FALSE)</f>
        <v>zie kwaliteitsontwerp</v>
      </c>
      <c r="J931" s="433">
        <v>3.7999999523162842</v>
      </c>
      <c r="K931" s="433">
        <f t="shared" si="70"/>
        <v>0</v>
      </c>
      <c r="L931" s="433">
        <f t="shared" si="71"/>
        <v>0</v>
      </c>
      <c r="M931" s="433">
        <f t="shared" si="72"/>
        <v>0</v>
      </c>
      <c r="N931" s="672"/>
      <c r="O931" s="729">
        <f>IF(N931="",0,N931*K931/'9b-Vloeronderhoud'!$F$4)</f>
        <v>0</v>
      </c>
      <c r="P931" s="672"/>
      <c r="Q931" s="729" t="e">
        <f>IF(O931="",0,P931*L931/'9b-Vloeronderhoud'!$F$6)</f>
        <v>#DIV/0!</v>
      </c>
      <c r="R931" s="449">
        <v>1</v>
      </c>
      <c r="S931" s="672">
        <v>190</v>
      </c>
      <c r="T931" s="161" t="e">
        <f t="shared" si="76"/>
        <v>#DIV/0!</v>
      </c>
      <c r="U931" s="162">
        <f>IF(S931="nio",0,IF(S931&gt;0,VLOOKUP(G931,'3-Productie normen'!A:K,VLOOKUP(S931,'3-Productie normen'!L:N,3,FALSE),FALSE)))</f>
        <v>0</v>
      </c>
      <c r="V931" s="162">
        <f>VLOOKUP(G931,'3-Productie normen'!A:K,10,FALSE)</f>
        <v>1859.5880019121171</v>
      </c>
      <c r="W931" s="163">
        <f>VLOOKUP(G931,'3-Productie normen'!A:K,11,FALSE)</f>
        <v>0</v>
      </c>
      <c r="X931" s="163"/>
      <c r="Z931" s="129">
        <f t="shared" si="77"/>
        <v>721.99999094009399</v>
      </c>
    </row>
    <row r="932" spans="1:26" ht="14.1" customHeight="1">
      <c r="A932" s="144">
        <v>970</v>
      </c>
      <c r="B932" s="485" t="s">
        <v>258</v>
      </c>
      <c r="C932" s="303" t="s">
        <v>848</v>
      </c>
      <c r="D932" s="304" t="s">
        <v>98</v>
      </c>
      <c r="E932" s="694" t="s">
        <v>326</v>
      </c>
      <c r="F932" s="303" t="s">
        <v>283</v>
      </c>
      <c r="G932" s="460" t="s">
        <v>286</v>
      </c>
      <c r="H932" s="303" t="s">
        <v>847</v>
      </c>
      <c r="I932" s="582" t="s">
        <v>952</v>
      </c>
      <c r="J932" s="433">
        <v>4.75</v>
      </c>
      <c r="K932" s="433">
        <f t="shared" si="70"/>
        <v>0</v>
      </c>
      <c r="L932" s="433">
        <f t="shared" si="71"/>
        <v>4.75</v>
      </c>
      <c r="M932" s="433">
        <f t="shared" si="72"/>
        <v>0</v>
      </c>
      <c r="N932" s="672"/>
      <c r="O932" s="729">
        <f>IF(N932="",0,N932*K932/'9b-Vloeronderhoud'!$F$4)</f>
        <v>0</v>
      </c>
      <c r="P932" s="672">
        <v>3</v>
      </c>
      <c r="Q932" s="729" t="e">
        <f>IF(O932="",0,P932*L932/'9b-Vloeronderhoud'!$F$6)</f>
        <v>#DIV/0!</v>
      </c>
      <c r="R932" s="449">
        <v>1</v>
      </c>
      <c r="S932" s="672">
        <v>120</v>
      </c>
      <c r="T932" s="161" t="e">
        <f t="shared" si="76"/>
        <v>#DIV/0!</v>
      </c>
      <c r="U932" s="162">
        <f>IF(S932="nio",0,IF(S932&gt;0,VLOOKUP(G932,'3-Productie normen'!A:K,VLOOKUP(S932,'3-Productie normen'!L:N,3,FALSE),FALSE)))</f>
        <v>0</v>
      </c>
      <c r="V932" s="162">
        <f>VLOOKUP(G932,'3-Productie normen'!A:K,10,FALSE)</f>
        <v>6152.9500017547598</v>
      </c>
      <c r="W932" s="163">
        <f>VLOOKUP(G932,'3-Productie normen'!A:K,11,FALSE)</f>
        <v>0</v>
      </c>
      <c r="X932" s="163"/>
      <c r="Z932" s="129">
        <f t="shared" si="77"/>
        <v>570</v>
      </c>
    </row>
    <row r="933" spans="1:26" ht="14.1" customHeight="1">
      <c r="A933" s="144">
        <v>971</v>
      </c>
      <c r="B933" s="485" t="s">
        <v>258</v>
      </c>
      <c r="C933" s="303" t="s">
        <v>848</v>
      </c>
      <c r="D933" s="304" t="s">
        <v>98</v>
      </c>
      <c r="E933" s="694" t="s">
        <v>328</v>
      </c>
      <c r="F933" s="303" t="s">
        <v>281</v>
      </c>
      <c r="G933" s="460" t="s">
        <v>881</v>
      </c>
      <c r="H933" s="516" t="s">
        <v>101</v>
      </c>
      <c r="I933" s="582" t="str">
        <f>VLOOKUP(H933,'9a-Typen vloeren'!$A$10:$B$40,2,FALSE)</f>
        <v>Schrobben</v>
      </c>
      <c r="J933" s="433">
        <v>2.8499999046325684</v>
      </c>
      <c r="K933" s="433">
        <f t="shared" si="70"/>
        <v>0</v>
      </c>
      <c r="L933" s="433">
        <f t="shared" si="71"/>
        <v>0</v>
      </c>
      <c r="M933" s="433">
        <f t="shared" si="72"/>
        <v>0</v>
      </c>
      <c r="N933" s="672"/>
      <c r="O933" s="729">
        <f>IF(N933="",0,N933*K933/'9b-Vloeronderhoud'!$F$4)</f>
        <v>0</v>
      </c>
      <c r="P933" s="672"/>
      <c r="Q933" s="729" t="e">
        <f>IF(O933="",0,P933*L933/'9b-Vloeronderhoud'!$F$6)</f>
        <v>#DIV/0!</v>
      </c>
      <c r="R933" s="449">
        <v>1</v>
      </c>
      <c r="S933" s="672" t="s">
        <v>179</v>
      </c>
      <c r="T933" s="161">
        <f t="shared" si="76"/>
        <v>0</v>
      </c>
      <c r="U933" s="162">
        <f>IF(S933="nio",0,IF(S933&gt;0,VLOOKUP(G933,'3-Productie normen'!A:K,VLOOKUP(S933,'3-Productie normen'!L:N,3,FALSE),FALSE)))</f>
        <v>0</v>
      </c>
      <c r="V933" s="162">
        <f>VLOOKUP(G933,'3-Productie normen'!A:K,10,FALSE)</f>
        <v>5262.809993648526</v>
      </c>
      <c r="W933" s="163">
        <f>VLOOKUP(G933,'3-Productie normen'!A:K,11,FALSE)</f>
        <v>0</v>
      </c>
      <c r="X933" s="163"/>
      <c r="Z933" s="129">
        <f t="shared" si="77"/>
        <v>0</v>
      </c>
    </row>
    <row r="934" spans="1:26" ht="14.1" customHeight="1">
      <c r="A934" s="144">
        <v>972</v>
      </c>
      <c r="B934" s="485" t="s">
        <v>258</v>
      </c>
      <c r="C934" s="303" t="s">
        <v>848</v>
      </c>
      <c r="D934" s="304" t="s">
        <v>98</v>
      </c>
      <c r="E934" s="694" t="s">
        <v>329</v>
      </c>
      <c r="F934" s="303" t="s">
        <v>556</v>
      </c>
      <c r="G934" s="303" t="s">
        <v>299</v>
      </c>
      <c r="H934" s="303" t="s">
        <v>332</v>
      </c>
      <c r="I934" s="582" t="str">
        <f>VLOOKUP(H934,'9a-Typen vloeren'!$A$10:$B$40,2,FALSE)</f>
        <v>Sproei/extraheren</v>
      </c>
      <c r="J934" s="433">
        <v>47</v>
      </c>
      <c r="K934" s="433">
        <f t="shared" si="70"/>
        <v>0</v>
      </c>
      <c r="L934" s="433">
        <f t="shared" si="71"/>
        <v>0</v>
      </c>
      <c r="M934" s="433">
        <f t="shared" si="72"/>
        <v>47</v>
      </c>
      <c r="N934" s="672"/>
      <c r="O934" s="729">
        <f>IF(N934="",0,N934*K934/'9b-Vloeronderhoud'!$F$4)</f>
        <v>0</v>
      </c>
      <c r="P934" s="672"/>
      <c r="Q934" s="729" t="e">
        <f>IF(O934="",0,P934*L934/'9b-Vloeronderhoud'!$F$6)</f>
        <v>#DIV/0!</v>
      </c>
      <c r="R934" s="449">
        <v>1</v>
      </c>
      <c r="S934" s="672">
        <v>40</v>
      </c>
      <c r="T934" s="161" t="e">
        <f t="shared" si="76"/>
        <v>#DIV/0!</v>
      </c>
      <c r="U934" s="162">
        <f>IF(S934="nio",0,IF(S934&gt;0,VLOOKUP(G934,'3-Productie normen'!A:K,VLOOKUP(S934,'3-Productie normen'!L:N,3,FALSE),FALSE)))</f>
        <v>0</v>
      </c>
      <c r="V934" s="162">
        <f>VLOOKUP(G934,'3-Productie normen'!A:K,10,FALSE)</f>
        <v>1107.9100014114381</v>
      </c>
      <c r="W934" s="163">
        <f>VLOOKUP(G934,'3-Productie normen'!A:K,11,FALSE)</f>
        <v>0</v>
      </c>
      <c r="X934" s="163"/>
      <c r="Z934" s="129">
        <f t="shared" si="77"/>
        <v>1880</v>
      </c>
    </row>
    <row r="935" spans="1:26" ht="14.1" customHeight="1">
      <c r="A935" s="144">
        <v>973</v>
      </c>
      <c r="B935" s="485" t="s">
        <v>258</v>
      </c>
      <c r="C935" s="303" t="s">
        <v>848</v>
      </c>
      <c r="D935" s="304" t="s">
        <v>98</v>
      </c>
      <c r="E935" s="694" t="s">
        <v>330</v>
      </c>
      <c r="F935" s="303" t="s">
        <v>288</v>
      </c>
      <c r="G935" s="460" t="s">
        <v>862</v>
      </c>
      <c r="H935" s="303" t="s">
        <v>847</v>
      </c>
      <c r="I935" s="582" t="s">
        <v>952</v>
      </c>
      <c r="J935" s="433">
        <v>200</v>
      </c>
      <c r="K935" s="433">
        <f t="shared" si="70"/>
        <v>0</v>
      </c>
      <c r="L935" s="433">
        <f t="shared" si="71"/>
        <v>200</v>
      </c>
      <c r="M935" s="433">
        <f t="shared" si="72"/>
        <v>0</v>
      </c>
      <c r="N935" s="672"/>
      <c r="O935" s="729">
        <f>IF(N935="",0,N935*K935/'9b-Vloeronderhoud'!$F$4)</f>
        <v>0</v>
      </c>
      <c r="P935" s="672">
        <v>3</v>
      </c>
      <c r="Q935" s="729" t="e">
        <f>IF(O935="",0,P935*L935/'9b-Vloeronderhoud'!$F$6)</f>
        <v>#DIV/0!</v>
      </c>
      <c r="R935" s="449">
        <v>1</v>
      </c>
      <c r="S935" s="672">
        <v>120</v>
      </c>
      <c r="T935" s="161" t="e">
        <f t="shared" si="76"/>
        <v>#DIV/0!</v>
      </c>
      <c r="U935" s="162">
        <f>IF(S935="nio",0,IF(S935&gt;0,VLOOKUP(G935,'3-Productie normen'!A:K,VLOOKUP(S935,'3-Productie normen'!L:N,3,FALSE),FALSE)))</f>
        <v>0</v>
      </c>
      <c r="V935" s="162">
        <f>VLOOKUP(G935,'3-Productie normen'!A:K,10,FALSE)</f>
        <v>4374.9900215911857</v>
      </c>
      <c r="W935" s="163">
        <f>VLOOKUP(G935,'3-Productie normen'!A:K,11,FALSE)</f>
        <v>0</v>
      </c>
      <c r="X935" s="163"/>
      <c r="Z935" s="129">
        <f t="shared" si="77"/>
        <v>24000</v>
      </c>
    </row>
    <row r="936" spans="1:26" ht="14.1" customHeight="1">
      <c r="A936" s="144">
        <v>974</v>
      </c>
      <c r="B936" s="485" t="s">
        <v>258</v>
      </c>
      <c r="C936" s="303" t="s">
        <v>848</v>
      </c>
      <c r="D936" s="304" t="s">
        <v>98</v>
      </c>
      <c r="E936" s="694" t="s">
        <v>843</v>
      </c>
      <c r="F936" s="303" t="s">
        <v>844</v>
      </c>
      <c r="G936" s="303" t="s">
        <v>286</v>
      </c>
      <c r="H936" s="303" t="s">
        <v>847</v>
      </c>
      <c r="I936" s="582" t="s">
        <v>952</v>
      </c>
      <c r="J936" s="433">
        <v>12</v>
      </c>
      <c r="K936" s="433">
        <f t="shared" si="70"/>
        <v>0</v>
      </c>
      <c r="L936" s="433">
        <f t="shared" si="71"/>
        <v>12</v>
      </c>
      <c r="M936" s="433">
        <f t="shared" si="72"/>
        <v>0</v>
      </c>
      <c r="N936" s="672"/>
      <c r="O936" s="729">
        <f>IF(N936="",0,N936*K936/'9b-Vloeronderhoud'!$F$4)</f>
        <v>0</v>
      </c>
      <c r="P936" s="672">
        <v>3</v>
      </c>
      <c r="Q936" s="729" t="e">
        <f>IF(O936="",0,P936*L936/'9b-Vloeronderhoud'!$F$6)</f>
        <v>#DIV/0!</v>
      </c>
      <c r="R936" s="449">
        <v>1</v>
      </c>
      <c r="S936" s="672">
        <v>80</v>
      </c>
      <c r="T936" s="161" t="e">
        <f t="shared" si="76"/>
        <v>#DIV/0!</v>
      </c>
      <c r="U936" s="162">
        <f>IF(S936="nio",0,IF(S936&gt;0,VLOOKUP(G936,'3-Productie normen'!A:K,VLOOKUP(S936,'3-Productie normen'!L:N,3,FALSE),FALSE)))</f>
        <v>0</v>
      </c>
      <c r="V936" s="162">
        <f>VLOOKUP(G936,'3-Productie normen'!A:K,10,FALSE)</f>
        <v>6152.9500017547598</v>
      </c>
      <c r="W936" s="163">
        <f>VLOOKUP(G936,'3-Productie normen'!A:K,11,FALSE)</f>
        <v>0</v>
      </c>
      <c r="X936" s="163"/>
      <c r="Z936" s="129">
        <f t="shared" si="77"/>
        <v>960</v>
      </c>
    </row>
    <row r="937" spans="1:26" ht="14.1" customHeight="1">
      <c r="A937" s="144">
        <v>975</v>
      </c>
      <c r="B937" s="485" t="s">
        <v>258</v>
      </c>
      <c r="C937" s="303" t="s">
        <v>848</v>
      </c>
      <c r="D937" s="304" t="s">
        <v>98</v>
      </c>
      <c r="E937" s="694" t="s">
        <v>845</v>
      </c>
      <c r="F937" s="303" t="s">
        <v>341</v>
      </c>
      <c r="G937" s="303" t="s">
        <v>190</v>
      </c>
      <c r="H937" s="303" t="s">
        <v>847</v>
      </c>
      <c r="I937" s="582" t="s">
        <v>952</v>
      </c>
      <c r="J937" s="433">
        <v>6.9000000953674316</v>
      </c>
      <c r="K937" s="433">
        <f t="shared" si="70"/>
        <v>0</v>
      </c>
      <c r="L937" s="433">
        <f t="shared" si="71"/>
        <v>6.9000000953674316</v>
      </c>
      <c r="M937" s="433">
        <f t="shared" si="72"/>
        <v>0</v>
      </c>
      <c r="N937" s="672"/>
      <c r="O937" s="729">
        <f>IF(N937="",0,N937*K937/'9b-Vloeronderhoud'!$F$4)</f>
        <v>0</v>
      </c>
      <c r="P937" s="672">
        <v>3</v>
      </c>
      <c r="Q937" s="729" t="e">
        <f>IF(O937="",0,P937*L937/'9b-Vloeronderhoud'!$F$6)</f>
        <v>#DIV/0!</v>
      </c>
      <c r="R937" s="449">
        <v>1</v>
      </c>
      <c r="S937" s="672">
        <v>40</v>
      </c>
      <c r="T937" s="161" t="e">
        <f t="shared" si="76"/>
        <v>#DIV/0!</v>
      </c>
      <c r="U937" s="162">
        <f>IF(S937="nio",0,IF(S937&gt;0,VLOOKUP(G937,'3-Productie normen'!A:K,VLOOKUP(S937,'3-Productie normen'!L:N,3,FALSE),FALSE)))</f>
        <v>0</v>
      </c>
      <c r="V937" s="162">
        <f>VLOOKUP(G937,'3-Productie normen'!A:K,10,FALSE)</f>
        <v>281.65000052452086</v>
      </c>
      <c r="W937" s="163">
        <f>VLOOKUP(G937,'3-Productie normen'!A:K,11,FALSE)</f>
        <v>0</v>
      </c>
      <c r="X937" s="163"/>
      <c r="Z937" s="129">
        <f t="shared" si="77"/>
        <v>276.00000381469727</v>
      </c>
    </row>
    <row r="938" spans="1:26" ht="14.1" customHeight="1">
      <c r="A938" s="144">
        <v>976</v>
      </c>
      <c r="B938" s="485" t="s">
        <v>258</v>
      </c>
      <c r="C938" s="303" t="s">
        <v>848</v>
      </c>
      <c r="D938" s="304" t="s">
        <v>98</v>
      </c>
      <c r="E938" s="694" t="s">
        <v>331</v>
      </c>
      <c r="F938" s="303" t="s">
        <v>302</v>
      </c>
      <c r="G938" s="460" t="s">
        <v>18</v>
      </c>
      <c r="H938" s="534" t="s">
        <v>954</v>
      </c>
      <c r="I938" s="582" t="str">
        <f>VLOOKUP(H938,'9a-Typen vloeren'!$A$10:$B$40,2,FALSE)</f>
        <v>zie kwaliteitsontwerp</v>
      </c>
      <c r="J938" s="433">
        <v>10.300000190734863</v>
      </c>
      <c r="K938" s="433">
        <f t="shared" si="70"/>
        <v>0</v>
      </c>
      <c r="L938" s="433">
        <f t="shared" si="71"/>
        <v>0</v>
      </c>
      <c r="M938" s="433">
        <f t="shared" si="72"/>
        <v>0</v>
      </c>
      <c r="N938" s="672"/>
      <c r="O938" s="729">
        <f>IF(N938="",0,N938*K938/'9b-Vloeronderhoud'!$F$4)</f>
        <v>0</v>
      </c>
      <c r="P938" s="672"/>
      <c r="Q938" s="729" t="e">
        <f>IF(O938="",0,P938*L938/'9b-Vloeronderhoud'!$F$6)</f>
        <v>#DIV/0!</v>
      </c>
      <c r="R938" s="449">
        <v>1</v>
      </c>
      <c r="S938" s="672">
        <v>190</v>
      </c>
      <c r="T938" s="161" t="e">
        <f t="shared" si="76"/>
        <v>#DIV/0!</v>
      </c>
      <c r="U938" s="162">
        <f>IF(S938="nio",0,IF(S938&gt;0,VLOOKUP(G938,'3-Productie normen'!A:K,VLOOKUP(S938,'3-Productie normen'!L:N,3,FALSE),FALSE)))</f>
        <v>0</v>
      </c>
      <c r="V938" s="162">
        <f>VLOOKUP(G938,'3-Productie normen'!A:K,10,FALSE)</f>
        <v>1859.5880019121171</v>
      </c>
      <c r="W938" s="163">
        <f>VLOOKUP(G938,'3-Productie normen'!A:K,11,FALSE)</f>
        <v>0</v>
      </c>
      <c r="X938" s="163"/>
      <c r="Z938" s="129">
        <f t="shared" si="77"/>
        <v>1957.000036239624</v>
      </c>
    </row>
    <row r="939" spans="1:26" ht="14.1" customHeight="1">
      <c r="A939" s="144">
        <v>977</v>
      </c>
      <c r="B939" s="485" t="s">
        <v>258</v>
      </c>
      <c r="C939" s="303" t="s">
        <v>848</v>
      </c>
      <c r="D939" s="304" t="s">
        <v>98</v>
      </c>
      <c r="E939" s="694" t="s">
        <v>406</v>
      </c>
      <c r="F939" s="303" t="s">
        <v>302</v>
      </c>
      <c r="G939" s="460" t="s">
        <v>18</v>
      </c>
      <c r="H939" s="534" t="s">
        <v>954</v>
      </c>
      <c r="I939" s="582" t="str">
        <f>VLOOKUP(H939,'9a-Typen vloeren'!$A$10:$B$40,2,FALSE)</f>
        <v>zie kwaliteitsontwerp</v>
      </c>
      <c r="J939" s="433">
        <v>7.5500001907348633</v>
      </c>
      <c r="K939" s="433">
        <f t="shared" si="70"/>
        <v>0</v>
      </c>
      <c r="L939" s="433">
        <f t="shared" si="71"/>
        <v>0</v>
      </c>
      <c r="M939" s="433">
        <f t="shared" si="72"/>
        <v>0</v>
      </c>
      <c r="N939" s="672"/>
      <c r="O939" s="729">
        <f>IF(N939="",0,N939*K939/'9b-Vloeronderhoud'!$F$4)</f>
        <v>0</v>
      </c>
      <c r="P939" s="672"/>
      <c r="Q939" s="729" t="e">
        <f>IF(O939="",0,P939*L939/'9b-Vloeronderhoud'!$F$6)</f>
        <v>#DIV/0!</v>
      </c>
      <c r="R939" s="449">
        <v>1</v>
      </c>
      <c r="S939" s="672">
        <v>190</v>
      </c>
      <c r="T939" s="161" t="e">
        <f t="shared" si="76"/>
        <v>#DIV/0!</v>
      </c>
      <c r="U939" s="162">
        <f>IF(S939="nio",0,IF(S939&gt;0,VLOOKUP(G939,'3-Productie normen'!A:K,VLOOKUP(S939,'3-Productie normen'!L:N,3,FALSE),FALSE)))</f>
        <v>0</v>
      </c>
      <c r="V939" s="162">
        <f>VLOOKUP(G939,'3-Productie normen'!A:K,10,FALSE)</f>
        <v>1859.5880019121171</v>
      </c>
      <c r="W939" s="163">
        <f>VLOOKUP(G939,'3-Productie normen'!A:K,11,FALSE)</f>
        <v>0</v>
      </c>
      <c r="X939" s="163"/>
      <c r="Z939" s="129">
        <f t="shared" si="77"/>
        <v>1434.500036239624</v>
      </c>
    </row>
    <row r="940" spans="1:26" ht="14.1" customHeight="1">
      <c r="A940" s="144">
        <v>978</v>
      </c>
      <c r="B940" s="485" t="s">
        <v>258</v>
      </c>
      <c r="C940" s="303" t="s">
        <v>848</v>
      </c>
      <c r="D940" s="304" t="s">
        <v>98</v>
      </c>
      <c r="E940" s="694" t="s">
        <v>407</v>
      </c>
      <c r="F940" s="303" t="s">
        <v>99</v>
      </c>
      <c r="G940" s="460" t="s">
        <v>99</v>
      </c>
      <c r="H940" s="303" t="s">
        <v>332</v>
      </c>
      <c r="I940" s="582" t="str">
        <f>VLOOKUP(H940,'9a-Typen vloeren'!$A$10:$B$40,2,FALSE)</f>
        <v>Sproei/extraheren</v>
      </c>
      <c r="J940" s="433">
        <v>7.8499999046325684</v>
      </c>
      <c r="K940" s="433">
        <f t="shared" si="70"/>
        <v>0</v>
      </c>
      <c r="L940" s="433">
        <f t="shared" si="71"/>
        <v>0</v>
      </c>
      <c r="M940" s="433">
        <f t="shared" si="72"/>
        <v>7.8499999046325684</v>
      </c>
      <c r="N940" s="672"/>
      <c r="O940" s="729">
        <f>IF(N940="",0,N940*K940/'9b-Vloeronderhoud'!$F$4)</f>
        <v>0</v>
      </c>
      <c r="P940" s="672"/>
      <c r="Q940" s="729" t="e">
        <f>IF(O940="",0,P940*L940/'9b-Vloeronderhoud'!$F$6)</f>
        <v>#DIV/0!</v>
      </c>
      <c r="R940" s="449">
        <v>1</v>
      </c>
      <c r="S940" s="672">
        <v>190</v>
      </c>
      <c r="T940" s="161" t="e">
        <f t="shared" si="76"/>
        <v>#DIV/0!</v>
      </c>
      <c r="U940" s="162">
        <f>IF(S940="nio",0,IF(S940&gt;0,VLOOKUP(G940,'3-Productie normen'!A:K,VLOOKUP(S940,'3-Productie normen'!L:N,3,FALSE),FALSE)))</f>
        <v>0</v>
      </c>
      <c r="V940" s="162">
        <f>VLOOKUP(G940,'3-Productie normen'!A:K,10,FALSE)</f>
        <v>726.97999910354622</v>
      </c>
      <c r="W940" s="163">
        <f>VLOOKUP(G940,'3-Productie normen'!A:K,11,FALSE)</f>
        <v>0</v>
      </c>
      <c r="X940" s="163"/>
      <c r="Z940" s="129">
        <f t="shared" si="77"/>
        <v>1491.499981880188</v>
      </c>
    </row>
    <row r="941" spans="1:26" ht="14.1" customHeight="1">
      <c r="A941" s="144">
        <v>979</v>
      </c>
      <c r="B941" s="485" t="s">
        <v>258</v>
      </c>
      <c r="C941" s="303" t="s">
        <v>848</v>
      </c>
      <c r="D941" s="304" t="s">
        <v>98</v>
      </c>
      <c r="E941" s="694" t="s">
        <v>408</v>
      </c>
      <c r="F941" s="303" t="s">
        <v>313</v>
      </c>
      <c r="G941" s="460" t="s">
        <v>881</v>
      </c>
      <c r="H941" s="516" t="s">
        <v>100</v>
      </c>
      <c r="I941" s="582" t="str">
        <f>VLOOKUP(H941,'9a-Typen vloeren'!$A$10:$B$40,2,FALSE)</f>
        <v>Sprayen/ conserveren</v>
      </c>
      <c r="J941" s="433">
        <v>11.649999618530273</v>
      </c>
      <c r="K941" s="433">
        <f t="shared" si="70"/>
        <v>0</v>
      </c>
      <c r="L941" s="433">
        <f t="shared" si="71"/>
        <v>0</v>
      </c>
      <c r="M941" s="433">
        <f t="shared" si="72"/>
        <v>0</v>
      </c>
      <c r="N941" s="672"/>
      <c r="O941" s="729">
        <f>IF(N941="",0,N941*K941/'9b-Vloeronderhoud'!$F$4)</f>
        <v>0</v>
      </c>
      <c r="P941" s="672"/>
      <c r="Q941" s="729" t="e">
        <f>IF(O941="",0,P941*L941/'9b-Vloeronderhoud'!$F$6)</f>
        <v>#DIV/0!</v>
      </c>
      <c r="R941" s="449">
        <v>1</v>
      </c>
      <c r="S941" s="672" t="s">
        <v>179</v>
      </c>
      <c r="T941" s="161">
        <f t="shared" si="76"/>
        <v>0</v>
      </c>
      <c r="U941" s="162">
        <f>IF(S941="nio",0,IF(S941&gt;0,VLOOKUP(G941,'3-Productie normen'!A:K,VLOOKUP(S941,'3-Productie normen'!L:N,3,FALSE),FALSE)))</f>
        <v>0</v>
      </c>
      <c r="V941" s="162">
        <f>VLOOKUP(G941,'3-Productie normen'!A:K,10,FALSE)</f>
        <v>5262.809993648526</v>
      </c>
      <c r="W941" s="163">
        <f>VLOOKUP(G941,'3-Productie normen'!A:K,11,FALSE)</f>
        <v>0</v>
      </c>
      <c r="X941" s="163"/>
      <c r="Z941" s="129">
        <f t="shared" si="77"/>
        <v>0</v>
      </c>
    </row>
    <row r="942" spans="1:26" ht="14.1" customHeight="1">
      <c r="A942" s="144">
        <v>980</v>
      </c>
      <c r="B942" s="485" t="s">
        <v>258</v>
      </c>
      <c r="C942" s="303" t="s">
        <v>848</v>
      </c>
      <c r="D942" s="304" t="s">
        <v>98</v>
      </c>
      <c r="E942" s="694" t="s">
        <v>414</v>
      </c>
      <c r="F942" s="303" t="s">
        <v>313</v>
      </c>
      <c r="G942" s="460" t="s">
        <v>881</v>
      </c>
      <c r="H942" s="516" t="s">
        <v>100</v>
      </c>
      <c r="I942" s="582" t="str">
        <f>VLOOKUP(H942,'9a-Typen vloeren'!$A$10:$B$40,2,FALSE)</f>
        <v>Sprayen/ conserveren</v>
      </c>
      <c r="J942" s="433">
        <v>14.199999809265137</v>
      </c>
      <c r="K942" s="433">
        <f t="shared" si="70"/>
        <v>0</v>
      </c>
      <c r="L942" s="433">
        <f t="shared" si="71"/>
        <v>0</v>
      </c>
      <c r="M942" s="433">
        <f t="shared" si="72"/>
        <v>0</v>
      </c>
      <c r="N942" s="672"/>
      <c r="O942" s="729">
        <f>IF(N942="",0,N942*K942/'9b-Vloeronderhoud'!$F$4)</f>
        <v>0</v>
      </c>
      <c r="P942" s="672"/>
      <c r="Q942" s="729" t="e">
        <f>IF(O942="",0,P942*L942/'9b-Vloeronderhoud'!$F$6)</f>
        <v>#DIV/0!</v>
      </c>
      <c r="R942" s="449">
        <v>1</v>
      </c>
      <c r="S942" s="672" t="s">
        <v>179</v>
      </c>
      <c r="T942" s="161">
        <f t="shared" si="76"/>
        <v>0</v>
      </c>
      <c r="U942" s="162">
        <f>IF(S942="nio",0,IF(S942&gt;0,VLOOKUP(G942,'3-Productie normen'!A:K,VLOOKUP(S942,'3-Productie normen'!L:N,3,FALSE),FALSE)))</f>
        <v>0</v>
      </c>
      <c r="V942" s="162">
        <f>VLOOKUP(G942,'3-Productie normen'!A:K,10,FALSE)</f>
        <v>5262.809993648526</v>
      </c>
      <c r="W942" s="163">
        <f>VLOOKUP(G942,'3-Productie normen'!A:K,11,FALSE)</f>
        <v>0</v>
      </c>
      <c r="X942" s="163"/>
      <c r="Z942" s="129">
        <f t="shared" si="77"/>
        <v>0</v>
      </c>
    </row>
    <row r="943" spans="1:26" ht="14.1" customHeight="1">
      <c r="A943" s="144">
        <v>981</v>
      </c>
      <c r="B943" s="485" t="s">
        <v>258</v>
      </c>
      <c r="C943" s="303" t="s">
        <v>848</v>
      </c>
      <c r="D943" s="304" t="s">
        <v>98</v>
      </c>
      <c r="E943" s="694" t="s">
        <v>415</v>
      </c>
      <c r="F943" s="303" t="s">
        <v>283</v>
      </c>
      <c r="G943" s="460" t="s">
        <v>286</v>
      </c>
      <c r="H943" s="303" t="s">
        <v>847</v>
      </c>
      <c r="I943" s="582" t="s">
        <v>952</v>
      </c>
      <c r="J943" s="433">
        <v>38</v>
      </c>
      <c r="K943" s="433">
        <f t="shared" si="70"/>
        <v>0</v>
      </c>
      <c r="L943" s="433">
        <f t="shared" si="71"/>
        <v>38</v>
      </c>
      <c r="M943" s="433">
        <f t="shared" si="72"/>
        <v>0</v>
      </c>
      <c r="N943" s="672"/>
      <c r="O943" s="729">
        <f>IF(N943="",0,N943*K943/'9b-Vloeronderhoud'!$F$4)</f>
        <v>0</v>
      </c>
      <c r="P943" s="672">
        <v>3</v>
      </c>
      <c r="Q943" s="729" t="e">
        <f>IF(O943="",0,P943*L943/'9b-Vloeronderhoud'!$F$6)</f>
        <v>#DIV/0!</v>
      </c>
      <c r="R943" s="449">
        <v>1</v>
      </c>
      <c r="S943" s="672">
        <v>120</v>
      </c>
      <c r="T943" s="161" t="e">
        <f t="shared" si="76"/>
        <v>#DIV/0!</v>
      </c>
      <c r="U943" s="162">
        <f>IF(S943="nio",0,IF(S943&gt;0,VLOOKUP(G943,'3-Productie normen'!A:K,VLOOKUP(S943,'3-Productie normen'!L:N,3,FALSE),FALSE)))</f>
        <v>0</v>
      </c>
      <c r="V943" s="162">
        <f>VLOOKUP(G943,'3-Productie normen'!A:K,10,FALSE)</f>
        <v>6152.9500017547598</v>
      </c>
      <c r="W943" s="163">
        <f>VLOOKUP(G943,'3-Productie normen'!A:K,11,FALSE)</f>
        <v>0</v>
      </c>
      <c r="X943" s="163"/>
      <c r="Z943" s="129">
        <f t="shared" si="77"/>
        <v>4560</v>
      </c>
    </row>
    <row r="944" spans="1:26" ht="14.1" customHeight="1">
      <c r="A944" s="144">
        <v>982</v>
      </c>
      <c r="B944" s="485" t="s">
        <v>258</v>
      </c>
      <c r="C944" s="303" t="s">
        <v>848</v>
      </c>
      <c r="D944" s="304" t="s">
        <v>98</v>
      </c>
      <c r="E944" s="694" t="s">
        <v>416</v>
      </c>
      <c r="F944" s="303" t="s">
        <v>313</v>
      </c>
      <c r="G944" s="460" t="s">
        <v>881</v>
      </c>
      <c r="H944" s="303" t="s">
        <v>100</v>
      </c>
      <c r="I944" s="582" t="str">
        <f>VLOOKUP(H944,'9a-Typen vloeren'!$A$10:$B$40,2,FALSE)</f>
        <v>Sprayen/ conserveren</v>
      </c>
      <c r="J944" s="433">
        <v>5.5</v>
      </c>
      <c r="K944" s="433">
        <f t="shared" si="70"/>
        <v>0</v>
      </c>
      <c r="L944" s="433">
        <f t="shared" si="71"/>
        <v>0</v>
      </c>
      <c r="M944" s="433">
        <f t="shared" si="72"/>
        <v>0</v>
      </c>
      <c r="N944" s="672"/>
      <c r="O944" s="729">
        <f>IF(N944="",0,N944*K944/'9b-Vloeronderhoud'!$F$4)</f>
        <v>0</v>
      </c>
      <c r="P944" s="672"/>
      <c r="Q944" s="729" t="e">
        <f>IF(O944="",0,P944*L944/'9b-Vloeronderhoud'!$F$6)</f>
        <v>#DIV/0!</v>
      </c>
      <c r="R944" s="449">
        <v>1</v>
      </c>
      <c r="S944" s="672" t="s">
        <v>179</v>
      </c>
      <c r="T944" s="161">
        <f t="shared" si="76"/>
        <v>0</v>
      </c>
      <c r="U944" s="162">
        <f>IF(S944="nio",0,IF(S944&gt;0,VLOOKUP(G944,'3-Productie normen'!A:K,VLOOKUP(S944,'3-Productie normen'!L:N,3,FALSE),FALSE)))</f>
        <v>0</v>
      </c>
      <c r="V944" s="162">
        <f>VLOOKUP(G944,'3-Productie normen'!A:K,10,FALSE)</f>
        <v>5262.809993648526</v>
      </c>
      <c r="W944" s="163">
        <f>VLOOKUP(G944,'3-Productie normen'!A:K,11,FALSE)</f>
        <v>0</v>
      </c>
      <c r="X944" s="163"/>
      <c r="Z944" s="129">
        <f t="shared" si="77"/>
        <v>0</v>
      </c>
    </row>
    <row r="945" spans="1:26" ht="14.1" customHeight="1">
      <c r="A945" s="144">
        <v>983</v>
      </c>
      <c r="B945" s="485" t="s">
        <v>258</v>
      </c>
      <c r="C945" s="303" t="s">
        <v>848</v>
      </c>
      <c r="D945" s="304" t="s">
        <v>98</v>
      </c>
      <c r="E945" s="694" t="s">
        <v>417</v>
      </c>
      <c r="F945" s="303" t="s">
        <v>313</v>
      </c>
      <c r="G945" s="460" t="s">
        <v>881</v>
      </c>
      <c r="H945" s="303" t="s">
        <v>100</v>
      </c>
      <c r="I945" s="582" t="str">
        <f>VLOOKUP(H945,'9a-Typen vloeren'!$A$10:$B$40,2,FALSE)</f>
        <v>Sprayen/ conserveren</v>
      </c>
      <c r="J945" s="433">
        <v>11.649999618530273</v>
      </c>
      <c r="K945" s="433">
        <f t="shared" si="70"/>
        <v>0</v>
      </c>
      <c r="L945" s="433">
        <f t="shared" si="71"/>
        <v>0</v>
      </c>
      <c r="M945" s="433">
        <f t="shared" si="72"/>
        <v>0</v>
      </c>
      <c r="N945" s="672"/>
      <c r="O945" s="729">
        <f>IF(N945="",0,N945*K945/'9b-Vloeronderhoud'!$F$4)</f>
        <v>0</v>
      </c>
      <c r="P945" s="672"/>
      <c r="Q945" s="729" t="e">
        <f>IF(O945="",0,P945*L945/'9b-Vloeronderhoud'!$F$6)</f>
        <v>#DIV/0!</v>
      </c>
      <c r="R945" s="449">
        <v>1</v>
      </c>
      <c r="S945" s="672" t="s">
        <v>179</v>
      </c>
      <c r="T945" s="161">
        <f t="shared" si="76"/>
        <v>0</v>
      </c>
      <c r="U945" s="162">
        <f>IF(S945="nio",0,IF(S945&gt;0,VLOOKUP(G945,'3-Productie normen'!A:K,VLOOKUP(S945,'3-Productie normen'!L:N,3,FALSE),FALSE)))</f>
        <v>0</v>
      </c>
      <c r="V945" s="162">
        <f>VLOOKUP(G945,'3-Productie normen'!A:K,10,FALSE)</f>
        <v>5262.809993648526</v>
      </c>
      <c r="W945" s="163">
        <f>VLOOKUP(G945,'3-Productie normen'!A:K,11,FALSE)</f>
        <v>0</v>
      </c>
      <c r="X945" s="163"/>
      <c r="Z945" s="129">
        <f t="shared" si="77"/>
        <v>0</v>
      </c>
    </row>
    <row r="946" spans="1:26" ht="14.1" customHeight="1">
      <c r="A946" s="144">
        <v>984</v>
      </c>
      <c r="B946" s="485" t="s">
        <v>258</v>
      </c>
      <c r="C946" s="303" t="s">
        <v>848</v>
      </c>
      <c r="D946" s="304" t="s">
        <v>98</v>
      </c>
      <c r="E946" s="694" t="s">
        <v>418</v>
      </c>
      <c r="F946" s="126" t="s">
        <v>302</v>
      </c>
      <c r="G946" s="303" t="s">
        <v>18</v>
      </c>
      <c r="H946" s="303" t="s">
        <v>967</v>
      </c>
      <c r="I946" s="582" t="str">
        <f>VLOOKUP(H946,'9a-Typen vloeren'!$A$10:$B$40,2,FALSE)</f>
        <v>zie kwaliteitsontwerp</v>
      </c>
      <c r="J946" s="433">
        <v>6.1999998092651367</v>
      </c>
      <c r="K946" s="433">
        <f t="shared" si="70"/>
        <v>0</v>
      </c>
      <c r="L946" s="433">
        <f t="shared" si="71"/>
        <v>0</v>
      </c>
      <c r="M946" s="433">
        <f t="shared" si="72"/>
        <v>0</v>
      </c>
      <c r="N946" s="672"/>
      <c r="O946" s="729">
        <f>IF(N946="",0,N946*K946/'9b-Vloeronderhoud'!$F$4)</f>
        <v>0</v>
      </c>
      <c r="P946" s="672"/>
      <c r="Q946" s="729" t="e">
        <f>IF(O946="",0,P946*L946/'9b-Vloeronderhoud'!$F$6)</f>
        <v>#DIV/0!</v>
      </c>
      <c r="R946" s="449">
        <v>1</v>
      </c>
      <c r="S946" s="672">
        <v>190</v>
      </c>
      <c r="T946" s="161" t="e">
        <f t="shared" si="76"/>
        <v>#DIV/0!</v>
      </c>
      <c r="U946" s="162">
        <f>IF(S946="nio",0,IF(S946&gt;0,VLOOKUP(G946,'3-Productie normen'!A:K,VLOOKUP(S946,'3-Productie normen'!L:N,3,FALSE),FALSE)))</f>
        <v>0</v>
      </c>
      <c r="V946" s="162">
        <f>VLOOKUP(G946,'3-Productie normen'!A:K,10,FALSE)</f>
        <v>1859.5880019121171</v>
      </c>
      <c r="W946" s="163">
        <f>VLOOKUP(G946,'3-Productie normen'!A:K,11,FALSE)</f>
        <v>0</v>
      </c>
      <c r="X946" s="163"/>
      <c r="Z946" s="129">
        <f t="shared" si="77"/>
        <v>1177.999963760376</v>
      </c>
    </row>
    <row r="947" spans="1:26" ht="14.1" customHeight="1">
      <c r="A947" s="144">
        <v>985</v>
      </c>
      <c r="B947" s="485" t="s">
        <v>258</v>
      </c>
      <c r="C947" s="303" t="s">
        <v>848</v>
      </c>
      <c r="D947" s="304" t="s">
        <v>98</v>
      </c>
      <c r="E947" s="694" t="s">
        <v>521</v>
      </c>
      <c r="F947" s="303" t="s">
        <v>313</v>
      </c>
      <c r="G947" s="460" t="s">
        <v>881</v>
      </c>
      <c r="H947" s="303" t="s">
        <v>335</v>
      </c>
      <c r="I947" s="582" t="str">
        <f>VLOOKUP(H947,'9a-Typen vloeren'!$A$10:$B$40,2,FALSE)</f>
        <v>Schrobben</v>
      </c>
      <c r="J947" s="433">
        <v>3.5</v>
      </c>
      <c r="K947" s="433">
        <f t="shared" si="70"/>
        <v>0</v>
      </c>
      <c r="L947" s="433">
        <f t="shared" si="71"/>
        <v>0</v>
      </c>
      <c r="M947" s="433">
        <f t="shared" si="72"/>
        <v>0</v>
      </c>
      <c r="N947" s="672"/>
      <c r="O947" s="729">
        <f>IF(N947="",0,N947*K947/'9b-Vloeronderhoud'!$F$4)</f>
        <v>0</v>
      </c>
      <c r="P947" s="672"/>
      <c r="Q947" s="729" t="e">
        <f>IF(O947="",0,P947*L947/'9b-Vloeronderhoud'!$F$6)</f>
        <v>#DIV/0!</v>
      </c>
      <c r="R947" s="449">
        <v>1</v>
      </c>
      <c r="S947" s="672" t="s">
        <v>179</v>
      </c>
      <c r="T947" s="161">
        <f t="shared" si="76"/>
        <v>0</v>
      </c>
      <c r="U947" s="162">
        <f>IF(S947="nio",0,IF(S947&gt;0,VLOOKUP(G947,'3-Productie normen'!A:K,VLOOKUP(S947,'3-Productie normen'!L:N,3,FALSE),FALSE)))</f>
        <v>0</v>
      </c>
      <c r="V947" s="162">
        <f>VLOOKUP(G947,'3-Productie normen'!A:K,10,FALSE)</f>
        <v>5262.809993648526</v>
      </c>
      <c r="W947" s="163">
        <f>VLOOKUP(G947,'3-Productie normen'!A:K,11,FALSE)</f>
        <v>0</v>
      </c>
      <c r="X947" s="163"/>
      <c r="Z947" s="129">
        <f t="shared" si="77"/>
        <v>0</v>
      </c>
    </row>
    <row r="948" spans="1:26" ht="14.1" customHeight="1">
      <c r="A948" s="144">
        <v>986</v>
      </c>
      <c r="B948" s="485" t="s">
        <v>258</v>
      </c>
      <c r="C948" s="303" t="s">
        <v>848</v>
      </c>
      <c r="D948" s="304" t="s">
        <v>98</v>
      </c>
      <c r="E948" s="694" t="s">
        <v>522</v>
      </c>
      <c r="F948" s="303" t="s">
        <v>313</v>
      </c>
      <c r="G948" s="460" t="s">
        <v>881</v>
      </c>
      <c r="H948" s="303" t="s">
        <v>375</v>
      </c>
      <c r="I948" s="582" t="str">
        <f>VLOOKUP(H948,'9a-Typen vloeren'!$A$10:$B$40,2,FALSE)</f>
        <v>n.v.t.</v>
      </c>
      <c r="J948" s="433">
        <v>12</v>
      </c>
      <c r="K948" s="433">
        <f t="shared" si="70"/>
        <v>0</v>
      </c>
      <c r="L948" s="433">
        <f t="shared" si="71"/>
        <v>0</v>
      </c>
      <c r="M948" s="433">
        <f t="shared" si="72"/>
        <v>0</v>
      </c>
      <c r="N948" s="672"/>
      <c r="O948" s="729">
        <f>IF(N948="",0,N948*K948/'9b-Vloeronderhoud'!$F$4)</f>
        <v>0</v>
      </c>
      <c r="P948" s="672"/>
      <c r="Q948" s="729" t="e">
        <f>IF(O948="",0,P948*L948/'9b-Vloeronderhoud'!$F$6)</f>
        <v>#DIV/0!</v>
      </c>
      <c r="R948" s="449">
        <v>1</v>
      </c>
      <c r="S948" s="672" t="s">
        <v>179</v>
      </c>
      <c r="T948" s="161">
        <f t="shared" si="76"/>
        <v>0</v>
      </c>
      <c r="U948" s="162">
        <f>IF(S948="nio",0,IF(S948&gt;0,VLOOKUP(G948,'3-Productie normen'!A:K,VLOOKUP(S948,'3-Productie normen'!L:N,3,FALSE),FALSE)))</f>
        <v>0</v>
      </c>
      <c r="V948" s="162">
        <f>VLOOKUP(G948,'3-Productie normen'!A:K,10,FALSE)</f>
        <v>5262.809993648526</v>
      </c>
      <c r="W948" s="163">
        <f>VLOOKUP(G948,'3-Productie normen'!A:K,11,FALSE)</f>
        <v>0</v>
      </c>
      <c r="X948" s="163"/>
      <c r="Z948" s="129">
        <f t="shared" si="77"/>
        <v>0</v>
      </c>
    </row>
    <row r="949" spans="1:26" ht="14.1" customHeight="1">
      <c r="A949" s="144">
        <v>987</v>
      </c>
      <c r="B949" s="485" t="s">
        <v>258</v>
      </c>
      <c r="C949" s="303" t="s">
        <v>848</v>
      </c>
      <c r="D949" s="304" t="s">
        <v>98</v>
      </c>
      <c r="E949" s="694" t="s">
        <v>523</v>
      </c>
      <c r="F949" s="303" t="s">
        <v>283</v>
      </c>
      <c r="G949" s="460" t="s">
        <v>286</v>
      </c>
      <c r="H949" s="303" t="s">
        <v>847</v>
      </c>
      <c r="I949" s="582" t="s">
        <v>952</v>
      </c>
      <c r="J949" s="433">
        <v>40</v>
      </c>
      <c r="K949" s="433">
        <f t="shared" si="70"/>
        <v>0</v>
      </c>
      <c r="L949" s="433">
        <f t="shared" si="71"/>
        <v>40</v>
      </c>
      <c r="M949" s="433">
        <f t="shared" si="72"/>
        <v>0</v>
      </c>
      <c r="N949" s="672"/>
      <c r="O949" s="729">
        <f>IF(N949="",0,N949*K949/'9b-Vloeronderhoud'!$F$4)</f>
        <v>0</v>
      </c>
      <c r="P949" s="672">
        <v>3</v>
      </c>
      <c r="Q949" s="729" t="e">
        <f>IF(O949="",0,P949*L949/'9b-Vloeronderhoud'!$F$6)</f>
        <v>#DIV/0!</v>
      </c>
      <c r="R949" s="449">
        <v>1</v>
      </c>
      <c r="S949" s="672">
        <v>120</v>
      </c>
      <c r="T949" s="161" t="e">
        <f t="shared" si="76"/>
        <v>#DIV/0!</v>
      </c>
      <c r="U949" s="162">
        <f>IF(S949="nio",0,IF(S949&gt;0,VLOOKUP(G949,'3-Productie normen'!A:K,VLOOKUP(S949,'3-Productie normen'!L:N,3,FALSE),FALSE)))</f>
        <v>0</v>
      </c>
      <c r="V949" s="162">
        <f>VLOOKUP(G949,'3-Productie normen'!A:K,10,FALSE)</f>
        <v>6152.9500017547598</v>
      </c>
      <c r="W949" s="163">
        <f>VLOOKUP(G949,'3-Productie normen'!A:K,11,FALSE)</f>
        <v>0</v>
      </c>
      <c r="X949" s="163"/>
      <c r="Z949" s="129">
        <f t="shared" si="77"/>
        <v>4800</v>
      </c>
    </row>
    <row r="950" spans="1:26" ht="14.1" customHeight="1">
      <c r="A950" s="144">
        <v>988</v>
      </c>
      <c r="B950" s="485" t="s">
        <v>258</v>
      </c>
      <c r="C950" s="303" t="s">
        <v>848</v>
      </c>
      <c r="D950" s="304" t="s">
        <v>98</v>
      </c>
      <c r="E950" s="694" t="s">
        <v>524</v>
      </c>
      <c r="F950" s="303" t="s">
        <v>302</v>
      </c>
      <c r="G950" s="460" t="s">
        <v>18</v>
      </c>
      <c r="H950" s="534" t="s">
        <v>954</v>
      </c>
      <c r="I950" s="582" t="str">
        <f>VLOOKUP(H950,'9a-Typen vloeren'!$A$10:$B$40,2,FALSE)</f>
        <v>zie kwaliteitsontwerp</v>
      </c>
      <c r="J950" s="433">
        <v>6</v>
      </c>
      <c r="K950" s="433">
        <f t="shared" si="70"/>
        <v>0</v>
      </c>
      <c r="L950" s="433">
        <f t="shared" si="71"/>
        <v>0</v>
      </c>
      <c r="M950" s="433">
        <f t="shared" si="72"/>
        <v>0</v>
      </c>
      <c r="N950" s="672"/>
      <c r="O950" s="729">
        <f>IF(N950="",0,N950*K950/'9b-Vloeronderhoud'!$F$4)</f>
        <v>0</v>
      </c>
      <c r="P950" s="672"/>
      <c r="Q950" s="729" t="e">
        <f>IF(O950="",0,P950*L950/'9b-Vloeronderhoud'!$F$6)</f>
        <v>#DIV/0!</v>
      </c>
      <c r="R950" s="449">
        <v>1</v>
      </c>
      <c r="S950" s="672">
        <v>190</v>
      </c>
      <c r="T950" s="161" t="e">
        <f t="shared" si="76"/>
        <v>#DIV/0!</v>
      </c>
      <c r="U950" s="162">
        <f>IF(S950="nio",0,IF(S950&gt;0,VLOOKUP(G950,'3-Productie normen'!A:K,VLOOKUP(S950,'3-Productie normen'!L:N,3,FALSE),FALSE)))</f>
        <v>0</v>
      </c>
      <c r="V950" s="162">
        <f>VLOOKUP(G950,'3-Productie normen'!A:K,10,FALSE)</f>
        <v>1859.5880019121171</v>
      </c>
      <c r="W950" s="163">
        <f>VLOOKUP(G950,'3-Productie normen'!A:K,11,FALSE)</f>
        <v>0</v>
      </c>
      <c r="X950" s="163"/>
      <c r="Z950" s="129">
        <f t="shared" si="77"/>
        <v>1140</v>
      </c>
    </row>
    <row r="951" spans="1:26" ht="14.1" customHeight="1">
      <c r="A951" s="144">
        <v>989</v>
      </c>
      <c r="B951" s="485" t="s">
        <v>258</v>
      </c>
      <c r="C951" s="303" t="s">
        <v>848</v>
      </c>
      <c r="D951" s="304" t="s">
        <v>98</v>
      </c>
      <c r="E951" s="694" t="s">
        <v>538</v>
      </c>
      <c r="F951" s="303" t="s">
        <v>297</v>
      </c>
      <c r="G951" s="303" t="s">
        <v>189</v>
      </c>
      <c r="H951" s="516" t="s">
        <v>100</v>
      </c>
      <c r="I951" s="582" t="str">
        <f>VLOOKUP(H951,'9a-Typen vloeren'!$A$10:$B$40,2,FALSE)</f>
        <v>Sprayen/ conserveren</v>
      </c>
      <c r="J951" s="433">
        <v>17.5</v>
      </c>
      <c r="K951" s="433">
        <f t="shared" ref="K951:K1014" si="78">IF(G951="niet in onderhoud",0,IF(I951="sprayen/ conserveren",J951,0))</f>
        <v>17.5</v>
      </c>
      <c r="L951" s="433">
        <f t="shared" ref="L951:L1014" si="79">IF(G951="niet in onderhoud",0,IF(I951="schrobben",J951,0))</f>
        <v>0</v>
      </c>
      <c r="M951" s="433">
        <f t="shared" ref="M951:M1014" si="80">IF(G951="niet in onderhoud",0,IF(I951="Sproei/extraheren",J951,0))</f>
        <v>0</v>
      </c>
      <c r="N951" s="672"/>
      <c r="O951" s="729">
        <f>IF(N951="",0,N951*K951/'9b-Vloeronderhoud'!$F$4)</f>
        <v>0</v>
      </c>
      <c r="P951" s="672"/>
      <c r="Q951" s="729" t="e">
        <f>IF(O951="",0,P951*L951/'9b-Vloeronderhoud'!$F$6)</f>
        <v>#DIV/0!</v>
      </c>
      <c r="R951" s="449">
        <v>1</v>
      </c>
      <c r="S951" s="675">
        <v>40</v>
      </c>
      <c r="T951" s="161" t="e">
        <f t="shared" si="76"/>
        <v>#DIV/0!</v>
      </c>
      <c r="U951" s="162">
        <f>IF(S951="nio",0,IF(S951&gt;0,VLOOKUP(G951,'3-Productie normen'!A:K,VLOOKUP(S951,'3-Productie normen'!L:N,3,FALSE),FALSE)))</f>
        <v>0</v>
      </c>
      <c r="V951" s="162">
        <f>VLOOKUP(G951,'3-Productie normen'!A:K,10,FALSE)</f>
        <v>1494.1700078582762</v>
      </c>
      <c r="W951" s="163">
        <f>VLOOKUP(G951,'3-Productie normen'!A:K,11,FALSE)</f>
        <v>0</v>
      </c>
      <c r="X951" s="163"/>
      <c r="Z951" s="129">
        <f t="shared" si="77"/>
        <v>700</v>
      </c>
    </row>
    <row r="952" spans="1:26" ht="14.1" customHeight="1">
      <c r="A952" s="144">
        <v>990</v>
      </c>
      <c r="B952" s="485" t="s">
        <v>258</v>
      </c>
      <c r="C952" s="303" t="s">
        <v>848</v>
      </c>
      <c r="D952" s="304" t="s">
        <v>98</v>
      </c>
      <c r="E952" s="694" t="s">
        <v>525</v>
      </c>
      <c r="F952" s="303" t="s">
        <v>313</v>
      </c>
      <c r="G952" s="460" t="s">
        <v>881</v>
      </c>
      <c r="H952" s="303" t="s">
        <v>100</v>
      </c>
      <c r="I952" s="582" t="str">
        <f>VLOOKUP(H952,'9a-Typen vloeren'!$A$10:$B$40,2,FALSE)</f>
        <v>Sprayen/ conserveren</v>
      </c>
      <c r="J952" s="433">
        <v>3</v>
      </c>
      <c r="K952" s="433">
        <f t="shared" si="78"/>
        <v>0</v>
      </c>
      <c r="L952" s="433">
        <f t="shared" si="79"/>
        <v>0</v>
      </c>
      <c r="M952" s="433">
        <f t="shared" si="80"/>
        <v>0</v>
      </c>
      <c r="N952" s="672"/>
      <c r="O952" s="729">
        <f>IF(N952="",0,N952*K952/'9b-Vloeronderhoud'!$F$4)</f>
        <v>0</v>
      </c>
      <c r="P952" s="672"/>
      <c r="Q952" s="729" t="e">
        <f>IF(O952="",0,P952*L952/'9b-Vloeronderhoud'!$F$6)</f>
        <v>#DIV/0!</v>
      </c>
      <c r="R952" s="449">
        <v>1</v>
      </c>
      <c r="S952" s="672" t="s">
        <v>179</v>
      </c>
      <c r="T952" s="161">
        <f t="shared" si="76"/>
        <v>0</v>
      </c>
      <c r="U952" s="162">
        <f>IF(S952="nio",0,IF(S952&gt;0,VLOOKUP(G952,'3-Productie normen'!A:K,VLOOKUP(S952,'3-Productie normen'!L:N,3,FALSE),FALSE)))</f>
        <v>0</v>
      </c>
      <c r="V952" s="162">
        <f>VLOOKUP(G952,'3-Productie normen'!A:K,10,FALSE)</f>
        <v>5262.809993648526</v>
      </c>
      <c r="W952" s="163">
        <f>VLOOKUP(G952,'3-Productie normen'!A:K,11,FALSE)</f>
        <v>0</v>
      </c>
      <c r="X952" s="163"/>
      <c r="Z952" s="129">
        <f t="shared" si="77"/>
        <v>0</v>
      </c>
    </row>
    <row r="953" spans="1:26" ht="14.1" customHeight="1">
      <c r="A953" s="144">
        <v>991</v>
      </c>
      <c r="B953" s="485" t="s">
        <v>258</v>
      </c>
      <c r="C953" s="303" t="s">
        <v>848</v>
      </c>
      <c r="D953" s="304" t="s">
        <v>98</v>
      </c>
      <c r="E953" s="694" t="s">
        <v>539</v>
      </c>
      <c r="F953" s="303" t="s">
        <v>297</v>
      </c>
      <c r="G953" s="303" t="s">
        <v>189</v>
      </c>
      <c r="H953" s="516" t="s">
        <v>100</v>
      </c>
      <c r="I953" s="582" t="str">
        <f>VLOOKUP(H953,'9a-Typen vloeren'!$A$10:$B$40,2,FALSE)</f>
        <v>Sprayen/ conserveren</v>
      </c>
      <c r="J953" s="433">
        <v>9.1999998092651367</v>
      </c>
      <c r="K953" s="433">
        <f t="shared" si="78"/>
        <v>9.1999998092651367</v>
      </c>
      <c r="L953" s="433">
        <f t="shared" si="79"/>
        <v>0</v>
      </c>
      <c r="M953" s="433">
        <f t="shared" si="80"/>
        <v>0</v>
      </c>
      <c r="N953" s="672"/>
      <c r="O953" s="729">
        <f>IF(N953="",0,N953*K953/'9b-Vloeronderhoud'!$F$4)</f>
        <v>0</v>
      </c>
      <c r="P953" s="672"/>
      <c r="Q953" s="729" t="e">
        <f>IF(O953="",0,P953*L953/'9b-Vloeronderhoud'!$F$6)</f>
        <v>#DIV/0!</v>
      </c>
      <c r="R953" s="449">
        <v>1</v>
      </c>
      <c r="S953" s="672">
        <v>40</v>
      </c>
      <c r="T953" s="161" t="e">
        <f t="shared" si="76"/>
        <v>#DIV/0!</v>
      </c>
      <c r="U953" s="162">
        <f>IF(S953="nio",0,IF(S953&gt;0,VLOOKUP(G953,'3-Productie normen'!A:K,VLOOKUP(S953,'3-Productie normen'!L:N,3,FALSE),FALSE)))</f>
        <v>0</v>
      </c>
      <c r="V953" s="162">
        <f>VLOOKUP(G953,'3-Productie normen'!A:K,10,FALSE)</f>
        <v>1494.1700078582762</v>
      </c>
      <c r="W953" s="163">
        <f>VLOOKUP(G953,'3-Productie normen'!A:K,11,FALSE)</f>
        <v>0</v>
      </c>
      <c r="X953" s="163"/>
      <c r="Z953" s="129">
        <f t="shared" si="77"/>
        <v>367.99999237060547</v>
      </c>
    </row>
    <row r="954" spans="1:26" ht="14.1" customHeight="1">
      <c r="A954" s="144">
        <v>992</v>
      </c>
      <c r="B954" s="485" t="s">
        <v>258</v>
      </c>
      <c r="C954" s="303" t="s">
        <v>848</v>
      </c>
      <c r="D954" s="304" t="s">
        <v>98</v>
      </c>
      <c r="E954" s="694" t="s">
        <v>527</v>
      </c>
      <c r="F954" s="303" t="s">
        <v>302</v>
      </c>
      <c r="G954" s="4" t="s">
        <v>18</v>
      </c>
      <c r="H954" s="534" t="s">
        <v>954</v>
      </c>
      <c r="I954" s="582" t="str">
        <f>VLOOKUP(H954,'9a-Typen vloeren'!$A$10:$B$40,2,FALSE)</f>
        <v>zie kwaliteitsontwerp</v>
      </c>
      <c r="J954" s="433">
        <v>11.199999809265137</v>
      </c>
      <c r="K954" s="433">
        <f t="shared" si="78"/>
        <v>0</v>
      </c>
      <c r="L954" s="433">
        <f t="shared" si="79"/>
        <v>0</v>
      </c>
      <c r="M954" s="433">
        <f t="shared" si="80"/>
        <v>0</v>
      </c>
      <c r="N954" s="672"/>
      <c r="O954" s="729">
        <f>IF(N954="",0,N954*K954/'9b-Vloeronderhoud'!$F$4)</f>
        <v>0</v>
      </c>
      <c r="P954" s="672"/>
      <c r="Q954" s="729" t="e">
        <f>IF(O954="",0,P954*L954/'9b-Vloeronderhoud'!$F$6)</f>
        <v>#DIV/0!</v>
      </c>
      <c r="R954" s="449">
        <v>1</v>
      </c>
      <c r="S954" s="672">
        <v>190</v>
      </c>
      <c r="T954" s="161" t="e">
        <f t="shared" si="76"/>
        <v>#DIV/0!</v>
      </c>
      <c r="U954" s="162">
        <f>IF(S954="nio",0,IF(S954&gt;0,VLOOKUP(G954,'3-Productie normen'!A:K,VLOOKUP(S954,'3-Productie normen'!L:N,3,FALSE),FALSE)))</f>
        <v>0</v>
      </c>
      <c r="V954" s="162">
        <f>VLOOKUP(G954,'3-Productie normen'!A:K,10,FALSE)</f>
        <v>1859.5880019121171</v>
      </c>
      <c r="W954" s="163">
        <f>VLOOKUP(G954,'3-Productie normen'!A:K,11,FALSE)</f>
        <v>0</v>
      </c>
      <c r="X954" s="163"/>
      <c r="Z954" s="129">
        <f t="shared" si="77"/>
        <v>2127.999963760376</v>
      </c>
    </row>
    <row r="955" spans="1:26" ht="14.1" customHeight="1">
      <c r="A955" s="144">
        <v>993</v>
      </c>
      <c r="B955" s="486" t="s">
        <v>258</v>
      </c>
      <c r="C955" s="303" t="s">
        <v>848</v>
      </c>
      <c r="D955" s="304" t="s">
        <v>98</v>
      </c>
      <c r="E955" s="694" t="s">
        <v>528</v>
      </c>
      <c r="F955" s="303" t="s">
        <v>313</v>
      </c>
      <c r="G955" s="460" t="s">
        <v>881</v>
      </c>
      <c r="H955" s="303" t="s">
        <v>101</v>
      </c>
      <c r="I955" s="582" t="str">
        <f>VLOOKUP(H955,'9a-Typen vloeren'!$A$10:$B$40,2,FALSE)</f>
        <v>Schrobben</v>
      </c>
      <c r="J955" s="433">
        <v>5.1500000953674316</v>
      </c>
      <c r="K955" s="433">
        <f t="shared" si="78"/>
        <v>0</v>
      </c>
      <c r="L955" s="433">
        <f t="shared" si="79"/>
        <v>0</v>
      </c>
      <c r="M955" s="433">
        <f t="shared" si="80"/>
        <v>0</v>
      </c>
      <c r="N955" s="672"/>
      <c r="O955" s="729">
        <f>IF(N955="",0,N955*K955/'9b-Vloeronderhoud'!$F$4)</f>
        <v>0</v>
      </c>
      <c r="P955" s="672"/>
      <c r="Q955" s="729" t="e">
        <f>IF(O955="",0,P955*L955/'9b-Vloeronderhoud'!$F$6)</f>
        <v>#DIV/0!</v>
      </c>
      <c r="R955" s="449">
        <v>1</v>
      </c>
      <c r="S955" s="672" t="s">
        <v>179</v>
      </c>
      <c r="T955" s="161">
        <f t="shared" si="76"/>
        <v>0</v>
      </c>
      <c r="U955" s="162">
        <f>IF(S955="nio",0,IF(S955&gt;0,VLOOKUP(G955,'3-Productie normen'!A:K,VLOOKUP(S955,'3-Productie normen'!L:N,3,FALSE),FALSE)))</f>
        <v>0</v>
      </c>
      <c r="V955" s="162">
        <f>VLOOKUP(G955,'3-Productie normen'!A:K,10,FALSE)</f>
        <v>5262.809993648526</v>
      </c>
      <c r="W955" s="163">
        <f>VLOOKUP(G955,'3-Productie normen'!A:K,11,FALSE)</f>
        <v>0</v>
      </c>
      <c r="X955" s="163"/>
      <c r="Z955" s="129">
        <f t="shared" si="77"/>
        <v>0</v>
      </c>
    </row>
    <row r="956" spans="1:26" ht="14.1" customHeight="1">
      <c r="A956" s="144">
        <v>994</v>
      </c>
      <c r="B956" s="486" t="s">
        <v>258</v>
      </c>
      <c r="C956" s="303" t="s">
        <v>848</v>
      </c>
      <c r="D956" s="304" t="s">
        <v>98</v>
      </c>
      <c r="E956" s="694" t="s">
        <v>509</v>
      </c>
      <c r="F956" s="303" t="s">
        <v>281</v>
      </c>
      <c r="G956" s="460" t="s">
        <v>881</v>
      </c>
      <c r="H956" s="303" t="s">
        <v>101</v>
      </c>
      <c r="I956" s="582" t="str">
        <f>VLOOKUP(H956,'9a-Typen vloeren'!$A$10:$B$40,2,FALSE)</f>
        <v>Schrobben</v>
      </c>
      <c r="J956" s="433">
        <v>2</v>
      </c>
      <c r="K956" s="433">
        <f t="shared" si="78"/>
        <v>0</v>
      </c>
      <c r="L956" s="433">
        <f t="shared" si="79"/>
        <v>0</v>
      </c>
      <c r="M956" s="433">
        <f t="shared" si="80"/>
        <v>0</v>
      </c>
      <c r="N956" s="672"/>
      <c r="O956" s="729">
        <f>IF(N956="",0,N956*K956/'9b-Vloeronderhoud'!$F$4)</f>
        <v>0</v>
      </c>
      <c r="P956" s="672"/>
      <c r="Q956" s="729" t="e">
        <f>IF(O956="",0,P956*L956/'9b-Vloeronderhoud'!$F$6)</f>
        <v>#DIV/0!</v>
      </c>
      <c r="R956" s="449">
        <v>1</v>
      </c>
      <c r="S956" s="672" t="s">
        <v>179</v>
      </c>
      <c r="T956" s="161">
        <f t="shared" si="76"/>
        <v>0</v>
      </c>
      <c r="U956" s="162">
        <f>IF(S956="nio",0,IF(S956&gt;0,VLOOKUP(G956,'3-Productie normen'!A:K,VLOOKUP(S956,'3-Productie normen'!L:N,3,FALSE),FALSE)))</f>
        <v>0</v>
      </c>
      <c r="V956" s="162">
        <f>VLOOKUP(G956,'3-Productie normen'!A:K,10,FALSE)</f>
        <v>5262.809993648526</v>
      </c>
      <c r="W956" s="163">
        <f>VLOOKUP(G956,'3-Productie normen'!A:K,11,FALSE)</f>
        <v>0</v>
      </c>
      <c r="X956" s="163"/>
      <c r="Z956" s="129">
        <f t="shared" si="77"/>
        <v>0</v>
      </c>
    </row>
    <row r="957" spans="1:26" ht="14.1" customHeight="1">
      <c r="A957" s="144">
        <v>995</v>
      </c>
      <c r="B957" s="486" t="s">
        <v>258</v>
      </c>
      <c r="C957" s="303" t="s">
        <v>848</v>
      </c>
      <c r="D957" s="304" t="s">
        <v>98</v>
      </c>
      <c r="E957" s="694" t="s">
        <v>479</v>
      </c>
      <c r="F957" s="303" t="s">
        <v>346</v>
      </c>
      <c r="G957" s="460" t="s">
        <v>881</v>
      </c>
      <c r="H957" s="303" t="s">
        <v>375</v>
      </c>
      <c r="I957" s="582" t="str">
        <f>VLOOKUP(H957,'9a-Typen vloeren'!$A$10:$B$40,2,FALSE)</f>
        <v>n.v.t.</v>
      </c>
      <c r="J957" s="433">
        <v>3.5999999046325684</v>
      </c>
      <c r="K957" s="433">
        <f t="shared" si="78"/>
        <v>0</v>
      </c>
      <c r="L957" s="433">
        <f t="shared" si="79"/>
        <v>0</v>
      </c>
      <c r="M957" s="433">
        <f t="shared" si="80"/>
        <v>0</v>
      </c>
      <c r="N957" s="672"/>
      <c r="O957" s="729">
        <f>IF(N957="",0,N957*K957/'9b-Vloeronderhoud'!$F$4)</f>
        <v>0</v>
      </c>
      <c r="P957" s="672"/>
      <c r="Q957" s="729" t="e">
        <f>IF(O957="",0,P957*L957/'9b-Vloeronderhoud'!$F$6)</f>
        <v>#DIV/0!</v>
      </c>
      <c r="R957" s="449">
        <v>1</v>
      </c>
      <c r="S957" s="672" t="s">
        <v>179</v>
      </c>
      <c r="T957" s="161">
        <f t="shared" si="76"/>
        <v>0</v>
      </c>
      <c r="U957" s="162">
        <f>IF(S957="nio",0,IF(S957&gt;0,VLOOKUP(G957,'3-Productie normen'!A:K,VLOOKUP(S957,'3-Productie normen'!L:N,3,FALSE),FALSE)))</f>
        <v>0</v>
      </c>
      <c r="V957" s="162">
        <f>VLOOKUP(G957,'3-Productie normen'!A:K,10,FALSE)</f>
        <v>5262.809993648526</v>
      </c>
      <c r="W957" s="163">
        <f>VLOOKUP(G957,'3-Productie normen'!A:K,11,FALSE)</f>
        <v>0</v>
      </c>
      <c r="X957" s="163"/>
      <c r="Z957" s="129">
        <f t="shared" si="77"/>
        <v>0</v>
      </c>
    </row>
    <row r="958" spans="1:26" ht="14.1" customHeight="1">
      <c r="A958" s="144">
        <v>996</v>
      </c>
      <c r="B958" s="486" t="s">
        <v>258</v>
      </c>
      <c r="C958" s="303" t="s">
        <v>848</v>
      </c>
      <c r="D958" s="304" t="s">
        <v>98</v>
      </c>
      <c r="E958" s="694" t="s">
        <v>482</v>
      </c>
      <c r="F958" s="303" t="s">
        <v>288</v>
      </c>
      <c r="G958" s="460" t="s">
        <v>862</v>
      </c>
      <c r="H958" s="303" t="s">
        <v>847</v>
      </c>
      <c r="I958" s="582" t="s">
        <v>952</v>
      </c>
      <c r="J958" s="433">
        <v>104</v>
      </c>
      <c r="K958" s="433">
        <f t="shared" si="78"/>
        <v>0</v>
      </c>
      <c r="L958" s="433">
        <f t="shared" si="79"/>
        <v>104</v>
      </c>
      <c r="M958" s="433">
        <f t="shared" si="80"/>
        <v>0</v>
      </c>
      <c r="N958" s="672"/>
      <c r="O958" s="729">
        <f>IF(N958="",0,N958*K958/'9b-Vloeronderhoud'!$F$4)</f>
        <v>0</v>
      </c>
      <c r="P958" s="672">
        <v>3</v>
      </c>
      <c r="Q958" s="729" t="e">
        <f>IF(O958="",0,P958*L958/'9b-Vloeronderhoud'!$F$6)</f>
        <v>#DIV/0!</v>
      </c>
      <c r="R958" s="449">
        <v>1</v>
      </c>
      <c r="S958" s="672">
        <v>120</v>
      </c>
      <c r="T958" s="161" t="e">
        <f t="shared" si="76"/>
        <v>#DIV/0!</v>
      </c>
      <c r="U958" s="162">
        <f>IF(S958="nio",0,IF(S958&gt;0,VLOOKUP(G958,'3-Productie normen'!A:K,VLOOKUP(S958,'3-Productie normen'!L:N,3,FALSE),FALSE)))</f>
        <v>0</v>
      </c>
      <c r="V958" s="162">
        <f>VLOOKUP(G958,'3-Productie normen'!A:K,10,FALSE)</f>
        <v>4374.9900215911857</v>
      </c>
      <c r="W958" s="163">
        <f>VLOOKUP(G958,'3-Productie normen'!A:K,11,FALSE)</f>
        <v>0</v>
      </c>
      <c r="X958" s="163"/>
      <c r="Z958" s="129">
        <f t="shared" si="77"/>
        <v>12480</v>
      </c>
    </row>
    <row r="959" spans="1:26" ht="14.1" customHeight="1">
      <c r="A959" s="144">
        <v>997</v>
      </c>
      <c r="B959" s="486" t="s">
        <v>258</v>
      </c>
      <c r="C959" s="303" t="s">
        <v>848</v>
      </c>
      <c r="D959" s="304" t="s">
        <v>98</v>
      </c>
      <c r="E959" s="694" t="s">
        <v>540</v>
      </c>
      <c r="F959" s="303" t="s">
        <v>313</v>
      </c>
      <c r="G959" s="460" t="s">
        <v>881</v>
      </c>
      <c r="H959" s="303" t="s">
        <v>101</v>
      </c>
      <c r="I959" s="582" t="str">
        <f>VLOOKUP(H959,'9a-Typen vloeren'!$A$10:$B$40,2,FALSE)</f>
        <v>Schrobben</v>
      </c>
      <c r="J959" s="433">
        <v>8.3000001907348633</v>
      </c>
      <c r="K959" s="433">
        <f t="shared" si="78"/>
        <v>0</v>
      </c>
      <c r="L959" s="433">
        <f t="shared" si="79"/>
        <v>0</v>
      </c>
      <c r="M959" s="433">
        <f t="shared" si="80"/>
        <v>0</v>
      </c>
      <c r="N959" s="672"/>
      <c r="O959" s="729">
        <f>IF(N959="",0,N959*K959/'9b-Vloeronderhoud'!$F$4)</f>
        <v>0</v>
      </c>
      <c r="P959" s="672"/>
      <c r="Q959" s="729" t="e">
        <f>IF(O959="",0,P959*L959/'9b-Vloeronderhoud'!$F$6)</f>
        <v>#DIV/0!</v>
      </c>
      <c r="R959" s="449">
        <v>1</v>
      </c>
      <c r="S959" s="672" t="s">
        <v>179</v>
      </c>
      <c r="T959" s="161">
        <f t="shared" si="76"/>
        <v>0</v>
      </c>
      <c r="U959" s="162">
        <f>IF(S959="nio",0,IF(S959&gt;0,VLOOKUP(G959,'3-Productie normen'!A:K,VLOOKUP(S959,'3-Productie normen'!L:N,3,FALSE),FALSE)))</f>
        <v>0</v>
      </c>
      <c r="V959" s="162">
        <f>VLOOKUP(G959,'3-Productie normen'!A:K,10,FALSE)</f>
        <v>5262.809993648526</v>
      </c>
      <c r="W959" s="163">
        <f>VLOOKUP(G959,'3-Productie normen'!A:K,11,FALSE)</f>
        <v>0</v>
      </c>
      <c r="X959" s="163"/>
      <c r="Z959" s="129">
        <f t="shared" si="77"/>
        <v>0</v>
      </c>
    </row>
    <row r="960" spans="1:26" ht="14.1" customHeight="1">
      <c r="A960" s="144">
        <v>998</v>
      </c>
      <c r="B960" s="486" t="s">
        <v>258</v>
      </c>
      <c r="C960" s="303" t="s">
        <v>848</v>
      </c>
      <c r="D960" s="304" t="s">
        <v>98</v>
      </c>
      <c r="E960" s="694" t="s">
        <v>541</v>
      </c>
      <c r="F960" s="303" t="s">
        <v>302</v>
      </c>
      <c r="G960" s="460" t="s">
        <v>18</v>
      </c>
      <c r="H960" s="303" t="s">
        <v>967</v>
      </c>
      <c r="I960" s="582" t="str">
        <f>VLOOKUP(H960,'9a-Typen vloeren'!$A$10:$B$40,2,FALSE)</f>
        <v>zie kwaliteitsontwerp</v>
      </c>
      <c r="J960" s="433">
        <v>6</v>
      </c>
      <c r="K960" s="433">
        <f t="shared" si="78"/>
        <v>0</v>
      </c>
      <c r="L960" s="433">
        <f t="shared" si="79"/>
        <v>0</v>
      </c>
      <c r="M960" s="433">
        <f t="shared" si="80"/>
        <v>0</v>
      </c>
      <c r="N960" s="672"/>
      <c r="O960" s="729">
        <f>IF(N960="",0,N960*K960/'9b-Vloeronderhoud'!$F$4)</f>
        <v>0</v>
      </c>
      <c r="P960" s="672"/>
      <c r="Q960" s="729" t="e">
        <f>IF(O960="",0,P960*L960/'9b-Vloeronderhoud'!$F$6)</f>
        <v>#DIV/0!</v>
      </c>
      <c r="R960" s="449">
        <v>1</v>
      </c>
      <c r="S960" s="672">
        <v>190</v>
      </c>
      <c r="T960" s="161" t="e">
        <f t="shared" si="76"/>
        <v>#DIV/0!</v>
      </c>
      <c r="U960" s="162">
        <f>IF(S960="nio",0,IF(S960&gt;0,VLOOKUP(G960,'3-Productie normen'!A:K,VLOOKUP(S960,'3-Productie normen'!L:N,3,FALSE),FALSE)))</f>
        <v>0</v>
      </c>
      <c r="V960" s="162">
        <f>VLOOKUP(G960,'3-Productie normen'!A:K,10,FALSE)</f>
        <v>1859.5880019121171</v>
      </c>
      <c r="W960" s="163">
        <f>VLOOKUP(G960,'3-Productie normen'!A:K,11,FALSE)</f>
        <v>0</v>
      </c>
      <c r="X960" s="163"/>
      <c r="Z960" s="129">
        <f t="shared" si="77"/>
        <v>1140</v>
      </c>
    </row>
    <row r="961" spans="1:26" ht="14.1" customHeight="1">
      <c r="A961" s="144">
        <v>999</v>
      </c>
      <c r="B961" s="486" t="s">
        <v>258</v>
      </c>
      <c r="C961" s="303" t="s">
        <v>848</v>
      </c>
      <c r="D961" s="304" t="s">
        <v>98</v>
      </c>
      <c r="E961" s="694" t="s">
        <v>473</v>
      </c>
      <c r="F961" s="303" t="s">
        <v>302</v>
      </c>
      <c r="G961" s="460" t="s">
        <v>18</v>
      </c>
      <c r="H961" s="303" t="s">
        <v>967</v>
      </c>
      <c r="I961" s="582" t="str">
        <f>VLOOKUP(H961,'9a-Typen vloeren'!$A$10:$B$40,2,FALSE)</f>
        <v>zie kwaliteitsontwerp</v>
      </c>
      <c r="J961" s="433">
        <v>8</v>
      </c>
      <c r="K961" s="433">
        <f t="shared" si="78"/>
        <v>0</v>
      </c>
      <c r="L961" s="433">
        <f t="shared" si="79"/>
        <v>0</v>
      </c>
      <c r="M961" s="433">
        <f t="shared" si="80"/>
        <v>0</v>
      </c>
      <c r="N961" s="672"/>
      <c r="O961" s="729">
        <f>IF(N961="",0,N961*K961/'9b-Vloeronderhoud'!$F$4)</f>
        <v>0</v>
      </c>
      <c r="P961" s="672"/>
      <c r="Q961" s="729" t="e">
        <f>IF(O961="",0,P961*L961/'9b-Vloeronderhoud'!$F$6)</f>
        <v>#DIV/0!</v>
      </c>
      <c r="R961" s="449">
        <v>1</v>
      </c>
      <c r="S961" s="672">
        <v>190</v>
      </c>
      <c r="T961" s="161" t="e">
        <f t="shared" si="76"/>
        <v>#DIV/0!</v>
      </c>
      <c r="U961" s="162">
        <f>IF(S961="nio",0,IF(S961&gt;0,VLOOKUP(G961,'3-Productie normen'!A:K,VLOOKUP(S961,'3-Productie normen'!L:N,3,FALSE),FALSE)))</f>
        <v>0</v>
      </c>
      <c r="V961" s="162">
        <f>VLOOKUP(G961,'3-Productie normen'!A:K,10,FALSE)</f>
        <v>1859.5880019121171</v>
      </c>
      <c r="W961" s="163">
        <f>VLOOKUP(G961,'3-Productie normen'!A:K,11,FALSE)</f>
        <v>0</v>
      </c>
      <c r="X961" s="163"/>
      <c r="Z961" s="129">
        <f t="shared" si="77"/>
        <v>1520</v>
      </c>
    </row>
    <row r="962" spans="1:26" ht="14.1" customHeight="1">
      <c r="A962" s="144">
        <v>1000</v>
      </c>
      <c r="B962" s="486" t="s">
        <v>258</v>
      </c>
      <c r="C962" s="303" t="s">
        <v>848</v>
      </c>
      <c r="D962" s="304" t="s">
        <v>98</v>
      </c>
      <c r="E962" s="694" t="s">
        <v>476</v>
      </c>
      <c r="F962" s="303" t="s">
        <v>313</v>
      </c>
      <c r="G962" s="460" t="s">
        <v>881</v>
      </c>
      <c r="H962" s="303" t="s">
        <v>100</v>
      </c>
      <c r="I962" s="582" t="str">
        <f>VLOOKUP(H962,'9a-Typen vloeren'!$A$10:$B$40,2,FALSE)</f>
        <v>Sprayen/ conserveren</v>
      </c>
      <c r="J962" s="433">
        <v>2</v>
      </c>
      <c r="K962" s="433">
        <f t="shared" si="78"/>
        <v>0</v>
      </c>
      <c r="L962" s="433">
        <f t="shared" si="79"/>
        <v>0</v>
      </c>
      <c r="M962" s="433">
        <f t="shared" si="80"/>
        <v>0</v>
      </c>
      <c r="N962" s="672"/>
      <c r="O962" s="729">
        <f>IF(N962="",0,N962*K962/'9b-Vloeronderhoud'!$F$4)</f>
        <v>0</v>
      </c>
      <c r="P962" s="672"/>
      <c r="Q962" s="729" t="e">
        <f>IF(O962="",0,P962*L962/'9b-Vloeronderhoud'!$F$6)</f>
        <v>#DIV/0!</v>
      </c>
      <c r="R962" s="449">
        <v>1</v>
      </c>
      <c r="S962" s="672" t="s">
        <v>179</v>
      </c>
      <c r="T962" s="161">
        <f t="shared" si="76"/>
        <v>0</v>
      </c>
      <c r="U962" s="162">
        <f>IF(S962="nio",0,IF(S962&gt;0,VLOOKUP(G962,'3-Productie normen'!A:K,VLOOKUP(S962,'3-Productie normen'!L:N,3,FALSE),FALSE)))</f>
        <v>0</v>
      </c>
      <c r="V962" s="162">
        <f>VLOOKUP(G962,'3-Productie normen'!A:K,10,FALSE)</f>
        <v>5262.809993648526</v>
      </c>
      <c r="W962" s="163">
        <f>VLOOKUP(G962,'3-Productie normen'!A:K,11,FALSE)</f>
        <v>0</v>
      </c>
      <c r="X962" s="163"/>
      <c r="Z962" s="129">
        <f t="shared" si="77"/>
        <v>0</v>
      </c>
    </row>
    <row r="963" spans="1:26" ht="14.1" customHeight="1">
      <c r="A963" s="144">
        <v>1001</v>
      </c>
      <c r="B963" s="486" t="s">
        <v>258</v>
      </c>
      <c r="C963" s="303" t="s">
        <v>848</v>
      </c>
      <c r="D963" s="304" t="s">
        <v>98</v>
      </c>
      <c r="E963" s="694" t="s">
        <v>477</v>
      </c>
      <c r="F963" s="303" t="s">
        <v>347</v>
      </c>
      <c r="G963" s="502" t="s">
        <v>347</v>
      </c>
      <c r="H963" s="303" t="s">
        <v>649</v>
      </c>
      <c r="I963" s="582" t="str">
        <f>VLOOKUP(H963,'9a-Typen vloeren'!$A$10:$B$40,2,FALSE)</f>
        <v>Schrobben</v>
      </c>
      <c r="J963" s="433">
        <v>75</v>
      </c>
      <c r="K963" s="433">
        <f t="shared" si="78"/>
        <v>0</v>
      </c>
      <c r="L963" s="433">
        <f t="shared" si="79"/>
        <v>75</v>
      </c>
      <c r="M963" s="433">
        <f t="shared" si="80"/>
        <v>0</v>
      </c>
      <c r="N963" s="672"/>
      <c r="O963" s="729">
        <f>IF(N963="",0,N963*K963/'9b-Vloeronderhoud'!$F$4)</f>
        <v>0</v>
      </c>
      <c r="P963" s="672">
        <v>3</v>
      </c>
      <c r="Q963" s="729" t="e">
        <f>IF(O963="",0,P963*L963/'9b-Vloeronderhoud'!$F$6)</f>
        <v>#DIV/0!</v>
      </c>
      <c r="R963" s="449">
        <v>1</v>
      </c>
      <c r="S963" s="672">
        <v>44</v>
      </c>
      <c r="T963" s="161" t="e">
        <f t="shared" si="76"/>
        <v>#DIV/0!</v>
      </c>
      <c r="U963" s="162">
        <f>IF(S963="nio",0,IF(S963&gt;0,VLOOKUP(G963,'3-Productie normen'!A:K,VLOOKUP(S963,'3-Productie normen'!L:N,3,FALSE),FALSE)))</f>
        <v>0</v>
      </c>
      <c r="V963" s="162">
        <f>VLOOKUP(G963,'3-Productie normen'!A:K,10,FALSE)</f>
        <v>1134.6299961853026</v>
      </c>
      <c r="W963" s="163">
        <f>VLOOKUP(G963,'3-Productie normen'!A:K,11,FALSE)</f>
        <v>0</v>
      </c>
      <c r="X963" s="163"/>
      <c r="Z963" s="129">
        <f t="shared" si="77"/>
        <v>3300</v>
      </c>
    </row>
    <row r="964" spans="1:26" ht="14.1" customHeight="1">
      <c r="A964" s="144">
        <v>1002</v>
      </c>
      <c r="B964" s="486" t="s">
        <v>258</v>
      </c>
      <c r="C964" s="303" t="s">
        <v>848</v>
      </c>
      <c r="D964" s="304" t="s">
        <v>98</v>
      </c>
      <c r="E964" s="694" t="s">
        <v>846</v>
      </c>
      <c r="F964" s="303" t="s">
        <v>348</v>
      </c>
      <c r="G964" s="460" t="s">
        <v>881</v>
      </c>
      <c r="H964" s="303" t="s">
        <v>100</v>
      </c>
      <c r="I964" s="582" t="str">
        <f>VLOOKUP(H964,'9a-Typen vloeren'!$A$10:$B$40,2,FALSE)</f>
        <v>Sprayen/ conserveren</v>
      </c>
      <c r="J964" s="433">
        <v>8</v>
      </c>
      <c r="K964" s="433">
        <f t="shared" si="78"/>
        <v>0</v>
      </c>
      <c r="L964" s="433">
        <f t="shared" si="79"/>
        <v>0</v>
      </c>
      <c r="M964" s="433">
        <f t="shared" si="80"/>
        <v>0</v>
      </c>
      <c r="N964" s="672"/>
      <c r="O964" s="729">
        <f>IF(N964="",0,N964*K964/'9b-Vloeronderhoud'!$F$4)</f>
        <v>0</v>
      </c>
      <c r="P964" s="672"/>
      <c r="Q964" s="729" t="e">
        <f>IF(O964="",0,P964*L964/'9b-Vloeronderhoud'!$F$6)</f>
        <v>#DIV/0!</v>
      </c>
      <c r="R964" s="449">
        <v>1</v>
      </c>
      <c r="S964" s="672" t="s">
        <v>179</v>
      </c>
      <c r="T964" s="161">
        <f t="shared" si="76"/>
        <v>0</v>
      </c>
      <c r="U964" s="162">
        <f>IF(S964="nio",0,IF(S964&gt;0,VLOOKUP(G964,'3-Productie normen'!A:K,VLOOKUP(S964,'3-Productie normen'!L:N,3,FALSE),FALSE)))</f>
        <v>0</v>
      </c>
      <c r="V964" s="162">
        <f>VLOOKUP(G964,'3-Productie normen'!A:K,10,FALSE)</f>
        <v>5262.809993648526</v>
      </c>
      <c r="W964" s="163">
        <f>VLOOKUP(G964,'3-Productie normen'!A:K,11,FALSE)</f>
        <v>0</v>
      </c>
      <c r="X964" s="163"/>
      <c r="Z964" s="129">
        <f t="shared" si="77"/>
        <v>0</v>
      </c>
    </row>
    <row r="965" spans="1:26" ht="14.1" customHeight="1">
      <c r="A965" s="144">
        <v>1003</v>
      </c>
      <c r="B965" s="486" t="s">
        <v>258</v>
      </c>
      <c r="C965" s="303" t="s">
        <v>848</v>
      </c>
      <c r="D965" s="304" t="s">
        <v>98</v>
      </c>
      <c r="E965" s="694" t="s">
        <v>478</v>
      </c>
      <c r="F965" s="303" t="s">
        <v>313</v>
      </c>
      <c r="G965" s="460" t="s">
        <v>881</v>
      </c>
      <c r="H965" s="303" t="s">
        <v>100</v>
      </c>
      <c r="I965" s="582" t="str">
        <f>VLOOKUP(H965,'9a-Typen vloeren'!$A$10:$B$40,2,FALSE)</f>
        <v>Sprayen/ conserveren</v>
      </c>
      <c r="J965" s="433">
        <v>4.6999998092651367</v>
      </c>
      <c r="K965" s="433">
        <f t="shared" si="78"/>
        <v>0</v>
      </c>
      <c r="L965" s="433">
        <f t="shared" si="79"/>
        <v>0</v>
      </c>
      <c r="M965" s="433">
        <f t="shared" si="80"/>
        <v>0</v>
      </c>
      <c r="N965" s="672"/>
      <c r="O965" s="729">
        <f>IF(N965="",0,N965*K965/'9b-Vloeronderhoud'!$F$4)</f>
        <v>0</v>
      </c>
      <c r="P965" s="672"/>
      <c r="Q965" s="729" t="e">
        <f>IF(O965="",0,P965*L965/'9b-Vloeronderhoud'!$F$6)</f>
        <v>#DIV/0!</v>
      </c>
      <c r="R965" s="449">
        <v>1</v>
      </c>
      <c r="S965" s="672" t="s">
        <v>179</v>
      </c>
      <c r="T965" s="161">
        <f t="shared" si="76"/>
        <v>0</v>
      </c>
      <c r="U965" s="162">
        <f>IF(S965="nio",0,IF(S965&gt;0,VLOOKUP(G965,'3-Productie normen'!A:K,VLOOKUP(S965,'3-Productie normen'!L:N,3,FALSE),FALSE)))</f>
        <v>0</v>
      </c>
      <c r="V965" s="162">
        <f>VLOOKUP(G965,'3-Productie normen'!A:K,10,FALSE)</f>
        <v>5262.809993648526</v>
      </c>
      <c r="W965" s="163">
        <f>VLOOKUP(G965,'3-Productie normen'!A:K,11,FALSE)</f>
        <v>0</v>
      </c>
      <c r="X965" s="163"/>
      <c r="Z965" s="129">
        <f t="shared" si="77"/>
        <v>0</v>
      </c>
    </row>
    <row r="966" spans="1:26" ht="14.1" customHeight="1">
      <c r="A966" s="144">
        <v>1004</v>
      </c>
      <c r="B966" s="485" t="s">
        <v>241</v>
      </c>
      <c r="C966" s="303" t="s">
        <v>642</v>
      </c>
      <c r="D966" s="304" t="s">
        <v>98</v>
      </c>
      <c r="E966" s="694" t="s">
        <v>294</v>
      </c>
      <c r="F966" s="303" t="s">
        <v>99</v>
      </c>
      <c r="G966" s="533" t="s">
        <v>99</v>
      </c>
      <c r="H966" s="303" t="s">
        <v>332</v>
      </c>
      <c r="I966" s="582" t="str">
        <f>VLOOKUP(H966,'9a-Typen vloeren'!$A$10:$B$40,2,FALSE)</f>
        <v>Sproei/extraheren</v>
      </c>
      <c r="J966" s="433">
        <v>11.199999809265137</v>
      </c>
      <c r="K966" s="433">
        <f t="shared" si="78"/>
        <v>0</v>
      </c>
      <c r="L966" s="433">
        <f t="shared" si="79"/>
        <v>0</v>
      </c>
      <c r="M966" s="433">
        <f t="shared" si="80"/>
        <v>11.199999809265137</v>
      </c>
      <c r="N966" s="672"/>
      <c r="O966" s="729">
        <f>IF(N966="",0,N966*K966/'9b-Vloeronderhoud'!$F$4)</f>
        <v>0</v>
      </c>
      <c r="P966" s="672"/>
      <c r="Q966" s="729" t="e">
        <f>IF(O966="",0,P966*L966/'9b-Vloeronderhoud'!$F$6)</f>
        <v>#DIV/0!</v>
      </c>
      <c r="R966" s="449">
        <v>1</v>
      </c>
      <c r="S966" s="672">
        <v>190</v>
      </c>
      <c r="T966" s="161" t="e">
        <f t="shared" si="76"/>
        <v>#DIV/0!</v>
      </c>
      <c r="U966" s="162">
        <f>IF(S966="nio",0,IF(S966&gt;0,VLOOKUP(G966,'3-Productie normen'!A:K,VLOOKUP(S966,'3-Productie normen'!L:N,3,FALSE),FALSE)))</f>
        <v>0</v>
      </c>
      <c r="V966" s="162">
        <f>VLOOKUP(G966,'3-Productie normen'!A:K,10,FALSE)</f>
        <v>726.97999910354622</v>
      </c>
      <c r="W966" s="163">
        <f>VLOOKUP(G966,'3-Productie normen'!A:K,11,FALSE)</f>
        <v>0</v>
      </c>
      <c r="X966" s="163"/>
      <c r="Z966" s="129">
        <f t="shared" si="77"/>
        <v>2127.999963760376</v>
      </c>
    </row>
    <row r="967" spans="1:26" ht="14.1" customHeight="1">
      <c r="A967" s="144">
        <v>1005</v>
      </c>
      <c r="B967" s="485" t="s">
        <v>241</v>
      </c>
      <c r="C967" s="303" t="s">
        <v>642</v>
      </c>
      <c r="D967" s="304" t="s">
        <v>98</v>
      </c>
      <c r="E967" s="694" t="s">
        <v>295</v>
      </c>
      <c r="F967" s="303" t="s">
        <v>288</v>
      </c>
      <c r="G967" s="533" t="s">
        <v>862</v>
      </c>
      <c r="H967" s="303" t="s">
        <v>100</v>
      </c>
      <c r="I967" s="582" t="str">
        <f>VLOOKUP(H967,'9a-Typen vloeren'!$A$10:$B$40,2,FALSE)</f>
        <v>Sprayen/ conserveren</v>
      </c>
      <c r="J967" s="433">
        <v>75.599998474121094</v>
      </c>
      <c r="K967" s="433">
        <f t="shared" si="78"/>
        <v>75.599998474121094</v>
      </c>
      <c r="L967" s="433">
        <f t="shared" si="79"/>
        <v>0</v>
      </c>
      <c r="M967" s="433">
        <f t="shared" si="80"/>
        <v>0</v>
      </c>
      <c r="N967" s="672">
        <v>2</v>
      </c>
      <c r="O967" s="729" t="e">
        <f>IF(N967="",0,N967*K967/'9b-Vloeronderhoud'!$F$4)</f>
        <v>#DIV/0!</v>
      </c>
      <c r="P967" s="672"/>
      <c r="Q967" s="729" t="e">
        <f>IF(O967="",0,P967*L967/'9b-Vloeronderhoud'!$F$6)</f>
        <v>#DIV/0!</v>
      </c>
      <c r="R967" s="449">
        <v>1</v>
      </c>
      <c r="S967" s="672">
        <v>120</v>
      </c>
      <c r="T967" s="161" t="e">
        <f t="shared" si="76"/>
        <v>#DIV/0!</v>
      </c>
      <c r="U967" s="162">
        <f>IF(S967="nio",0,IF(S967&gt;0,VLOOKUP(G967,'3-Productie normen'!A:K,VLOOKUP(S967,'3-Productie normen'!L:N,3,FALSE),FALSE)))</f>
        <v>0</v>
      </c>
      <c r="V967" s="162">
        <f>VLOOKUP(G967,'3-Productie normen'!A:K,10,FALSE)</f>
        <v>4374.9900215911857</v>
      </c>
      <c r="W967" s="163">
        <f>VLOOKUP(G967,'3-Productie normen'!A:K,11,FALSE)</f>
        <v>0</v>
      </c>
      <c r="X967" s="163"/>
      <c r="Z967" s="129">
        <f t="shared" si="77"/>
        <v>9071.9998168945313</v>
      </c>
    </row>
    <row r="968" spans="1:26" ht="14.1" customHeight="1">
      <c r="A968" s="144">
        <v>1006</v>
      </c>
      <c r="B968" s="485" t="s">
        <v>241</v>
      </c>
      <c r="C968" s="303" t="s">
        <v>642</v>
      </c>
      <c r="D968" s="304" t="s">
        <v>98</v>
      </c>
      <c r="E968" s="694" t="s">
        <v>296</v>
      </c>
      <c r="F968" s="303" t="s">
        <v>221</v>
      </c>
      <c r="G968" s="546" t="s">
        <v>221</v>
      </c>
      <c r="H968" s="303" t="s">
        <v>100</v>
      </c>
      <c r="I968" s="582" t="str">
        <f>VLOOKUP(H968,'9a-Typen vloeren'!$A$10:$B$40,2,FALSE)</f>
        <v>Sprayen/ conserveren</v>
      </c>
      <c r="J968" s="433">
        <v>50</v>
      </c>
      <c r="K968" s="433">
        <f t="shared" si="78"/>
        <v>50</v>
      </c>
      <c r="L968" s="433">
        <f t="shared" si="79"/>
        <v>0</v>
      </c>
      <c r="M968" s="433">
        <f t="shared" si="80"/>
        <v>0</v>
      </c>
      <c r="N968" s="672"/>
      <c r="O968" s="729">
        <f>IF(N968="",0,N968*K968/'9b-Vloeronderhoud'!$F$4)</f>
        <v>0</v>
      </c>
      <c r="P968" s="672"/>
      <c r="Q968" s="729" t="e">
        <f>IF(O968="",0,P968*L968/'9b-Vloeronderhoud'!$F$6)</f>
        <v>#DIV/0!</v>
      </c>
      <c r="R968" s="449">
        <v>1</v>
      </c>
      <c r="S968" s="688" t="s">
        <v>179</v>
      </c>
      <c r="T968" s="161">
        <f t="shared" si="76"/>
        <v>0</v>
      </c>
      <c r="U968" s="162">
        <f>IF(S968="nio",0,IF(S968&gt;0,VLOOKUP(G968,'3-Productie normen'!A:K,VLOOKUP(S968,'3-Productie normen'!L:N,3,FALSE),FALSE)))</f>
        <v>0</v>
      </c>
      <c r="V968" s="162">
        <f>VLOOKUP(G968,'3-Productie normen'!A:K,10,FALSE)</f>
        <v>16013.110036668773</v>
      </c>
      <c r="W968" s="163">
        <f>VLOOKUP(G968,'3-Productie normen'!A:K,11,FALSE)</f>
        <v>0</v>
      </c>
      <c r="X968" s="163"/>
      <c r="Z968" s="129">
        <f t="shared" si="77"/>
        <v>0</v>
      </c>
    </row>
    <row r="969" spans="1:26" ht="14.1" customHeight="1">
      <c r="A969" s="144">
        <v>1007</v>
      </c>
      <c r="B969" s="485" t="s">
        <v>241</v>
      </c>
      <c r="C969" s="303" t="s">
        <v>642</v>
      </c>
      <c r="D969" s="304" t="s">
        <v>98</v>
      </c>
      <c r="E969" s="694" t="s">
        <v>298</v>
      </c>
      <c r="F969" s="303" t="s">
        <v>221</v>
      </c>
      <c r="G969" s="122" t="s">
        <v>421</v>
      </c>
      <c r="H969" s="303" t="s">
        <v>100</v>
      </c>
      <c r="I969" s="582" t="str">
        <f>VLOOKUP(H969,'9a-Typen vloeren'!$A$10:$B$40,2,FALSE)</f>
        <v>Sprayen/ conserveren</v>
      </c>
      <c r="J969" s="433">
        <v>51.849998474121094</v>
      </c>
      <c r="K969" s="433">
        <f t="shared" si="78"/>
        <v>51.849998474121094</v>
      </c>
      <c r="L969" s="433">
        <f t="shared" si="79"/>
        <v>0</v>
      </c>
      <c r="M969" s="433">
        <f t="shared" si="80"/>
        <v>0</v>
      </c>
      <c r="N969" s="672"/>
      <c r="O969" s="729">
        <f>IF(N969="",0,N969*K969/'9b-Vloeronderhoud'!$F$4)</f>
        <v>0</v>
      </c>
      <c r="P969" s="672"/>
      <c r="Q969" s="729" t="e">
        <f>IF(O969="",0,P969*L969/'9b-Vloeronderhoud'!$F$6)</f>
        <v>#DIV/0!</v>
      </c>
      <c r="R969" s="449">
        <v>1</v>
      </c>
      <c r="S969" s="672">
        <v>40</v>
      </c>
      <c r="T969" s="161" t="e">
        <f t="shared" si="76"/>
        <v>#DIV/0!</v>
      </c>
      <c r="U969" s="162">
        <f>IF(S969="nio",0,IF(S969&gt;0,VLOOKUP(G969,'3-Productie normen'!A:K,VLOOKUP(S969,'3-Productie normen'!L:N,3,FALSE),FALSE)))</f>
        <v>0</v>
      </c>
      <c r="V969" s="162">
        <f>VLOOKUP(G969,'3-Productie normen'!A:K,10,FALSE)</f>
        <v>865.11000061035156</v>
      </c>
      <c r="W969" s="163">
        <f>VLOOKUP(G969,'3-Productie normen'!A:K,11,FALSE)</f>
        <v>0</v>
      </c>
      <c r="X969" s="163"/>
      <c r="Z969" s="129">
        <f t="shared" si="77"/>
        <v>2073.9999389648438</v>
      </c>
    </row>
    <row r="970" spans="1:26" ht="14.1" customHeight="1">
      <c r="A970" s="144">
        <v>1008</v>
      </c>
      <c r="B970" s="485" t="s">
        <v>241</v>
      </c>
      <c r="C970" s="303" t="s">
        <v>642</v>
      </c>
      <c r="D970" s="304" t="s">
        <v>98</v>
      </c>
      <c r="E970" s="694" t="s">
        <v>301</v>
      </c>
      <c r="F970" s="303" t="s">
        <v>288</v>
      </c>
      <c r="G970" s="533" t="s">
        <v>862</v>
      </c>
      <c r="H970" s="303" t="s">
        <v>100</v>
      </c>
      <c r="I970" s="582" t="str">
        <f>VLOOKUP(H970,'9a-Typen vloeren'!$A$10:$B$40,2,FALSE)</f>
        <v>Sprayen/ conserveren</v>
      </c>
      <c r="J970" s="433">
        <v>60.799999237060547</v>
      </c>
      <c r="K970" s="433">
        <f t="shared" si="78"/>
        <v>60.799999237060547</v>
      </c>
      <c r="L970" s="433">
        <f t="shared" si="79"/>
        <v>0</v>
      </c>
      <c r="M970" s="433">
        <f t="shared" si="80"/>
        <v>0</v>
      </c>
      <c r="N970" s="672">
        <v>2</v>
      </c>
      <c r="O970" s="729" t="e">
        <f>IF(N970="",0,N970*K970/'9b-Vloeronderhoud'!$F$4)</f>
        <v>#DIV/0!</v>
      </c>
      <c r="P970" s="672"/>
      <c r="Q970" s="729" t="e">
        <f>IF(O970="",0,P970*L970/'9b-Vloeronderhoud'!$F$6)</f>
        <v>#DIV/0!</v>
      </c>
      <c r="R970" s="449">
        <v>1</v>
      </c>
      <c r="S970" s="672">
        <v>120</v>
      </c>
      <c r="T970" s="161" t="e">
        <f t="shared" ref="T970:T1033" si="81">IF(S970="nio",0,IF(S970&gt;0,S970*J970/U970,0))*R970</f>
        <v>#DIV/0!</v>
      </c>
      <c r="U970" s="162">
        <f>IF(S970="nio",0,IF(S970&gt;0,VLOOKUP(G970,'3-Productie normen'!A:K,VLOOKUP(S970,'3-Productie normen'!L:N,3,FALSE),FALSE)))</f>
        <v>0</v>
      </c>
      <c r="V970" s="162">
        <f>VLOOKUP(G970,'3-Productie normen'!A:K,10,FALSE)</f>
        <v>4374.9900215911857</v>
      </c>
      <c r="W970" s="163">
        <f>VLOOKUP(G970,'3-Productie normen'!A:K,11,FALSE)</f>
        <v>0</v>
      </c>
      <c r="X970" s="163"/>
      <c r="Z970" s="129">
        <f t="shared" ref="Z970:Z1033" si="82">SUM(S970:S970)*J970</f>
        <v>7295.9999084472656</v>
      </c>
    </row>
    <row r="971" spans="1:26" ht="14.1" customHeight="1">
      <c r="A971" s="144">
        <v>1009</v>
      </c>
      <c r="B971" s="485" t="s">
        <v>241</v>
      </c>
      <c r="C971" s="303" t="s">
        <v>642</v>
      </c>
      <c r="D971" s="304" t="s">
        <v>98</v>
      </c>
      <c r="E971" s="694" t="s">
        <v>303</v>
      </c>
      <c r="F971" s="303" t="s">
        <v>379</v>
      </c>
      <c r="G971" s="460" t="s">
        <v>881</v>
      </c>
      <c r="H971" s="303" t="s">
        <v>100</v>
      </c>
      <c r="I971" s="582" t="str">
        <f>VLOOKUP(H971,'9a-Typen vloeren'!$A$10:$B$40,2,FALSE)</f>
        <v>Sprayen/ conserveren</v>
      </c>
      <c r="J971" s="433">
        <v>7.0500001907348633</v>
      </c>
      <c r="K971" s="433">
        <f t="shared" si="78"/>
        <v>0</v>
      </c>
      <c r="L971" s="433">
        <f t="shared" si="79"/>
        <v>0</v>
      </c>
      <c r="M971" s="433">
        <f t="shared" si="80"/>
        <v>0</v>
      </c>
      <c r="N971" s="672"/>
      <c r="O971" s="729">
        <f>IF(N971="",0,N971*K971/'9b-Vloeronderhoud'!$F$4)</f>
        <v>0</v>
      </c>
      <c r="P971" s="672"/>
      <c r="Q971" s="729" t="e">
        <f>IF(O971="",0,P971*L971/'9b-Vloeronderhoud'!$F$6)</f>
        <v>#DIV/0!</v>
      </c>
      <c r="R971" s="449">
        <v>1</v>
      </c>
      <c r="S971" s="672" t="s">
        <v>179</v>
      </c>
      <c r="T971" s="161">
        <f t="shared" si="81"/>
        <v>0</v>
      </c>
      <c r="U971" s="162">
        <f>IF(S971="nio",0,IF(S971&gt;0,VLOOKUP(G971,'3-Productie normen'!A:K,VLOOKUP(S971,'3-Productie normen'!L:N,3,FALSE),FALSE)))</f>
        <v>0</v>
      </c>
      <c r="V971" s="162">
        <f>VLOOKUP(G971,'3-Productie normen'!A:K,10,FALSE)</f>
        <v>5262.809993648526</v>
      </c>
      <c r="W971" s="163">
        <f>VLOOKUP(G971,'3-Productie normen'!A:K,11,FALSE)</f>
        <v>0</v>
      </c>
      <c r="X971" s="163"/>
      <c r="Z971" s="129">
        <f t="shared" si="82"/>
        <v>0</v>
      </c>
    </row>
    <row r="972" spans="1:26" ht="14.1" customHeight="1">
      <c r="A972" s="144">
        <v>1010</v>
      </c>
      <c r="B972" s="485" t="s">
        <v>241</v>
      </c>
      <c r="C972" s="303" t="s">
        <v>642</v>
      </c>
      <c r="D972" s="304" t="s">
        <v>98</v>
      </c>
      <c r="E972" s="694" t="s">
        <v>305</v>
      </c>
      <c r="F972" s="303" t="s">
        <v>302</v>
      </c>
      <c r="G972" s="126" t="s">
        <v>18</v>
      </c>
      <c r="H972" s="534" t="s">
        <v>954</v>
      </c>
      <c r="I972" s="582" t="str">
        <f>VLOOKUP(H972,'9a-Typen vloeren'!$A$10:$B$40,2,FALSE)</f>
        <v>zie kwaliteitsontwerp</v>
      </c>
      <c r="J972" s="433">
        <v>14.399999618530273</v>
      </c>
      <c r="K972" s="433">
        <f t="shared" si="78"/>
        <v>0</v>
      </c>
      <c r="L972" s="433">
        <f t="shared" si="79"/>
        <v>0</v>
      </c>
      <c r="M972" s="433">
        <f t="shared" si="80"/>
        <v>0</v>
      </c>
      <c r="N972" s="672"/>
      <c r="O972" s="729">
        <f>IF(N972="",0,N972*K972/'9b-Vloeronderhoud'!$F$4)</f>
        <v>0</v>
      </c>
      <c r="P972" s="672"/>
      <c r="Q972" s="729" t="e">
        <f>IF(O972="",0,P972*L972/'9b-Vloeronderhoud'!$F$6)</f>
        <v>#DIV/0!</v>
      </c>
      <c r="R972" s="449">
        <v>1</v>
      </c>
      <c r="S972" s="672">
        <v>190</v>
      </c>
      <c r="T972" s="161" t="e">
        <f t="shared" si="81"/>
        <v>#DIV/0!</v>
      </c>
      <c r="U972" s="162">
        <f>IF(S972="nio",0,IF(S972&gt;0,VLOOKUP(G972,'3-Productie normen'!A:K,VLOOKUP(S972,'3-Productie normen'!L:N,3,FALSE),FALSE)))</f>
        <v>0</v>
      </c>
      <c r="V972" s="162">
        <f>VLOOKUP(G972,'3-Productie normen'!A:K,10,FALSE)</f>
        <v>1859.5880019121171</v>
      </c>
      <c r="W972" s="163">
        <f>VLOOKUP(G972,'3-Productie normen'!A:K,11,FALSE)</f>
        <v>0</v>
      </c>
      <c r="X972" s="163"/>
      <c r="Z972" s="129">
        <f t="shared" si="82"/>
        <v>2735.999927520752</v>
      </c>
    </row>
    <row r="973" spans="1:26" ht="14.1" customHeight="1">
      <c r="A973" s="144">
        <v>1011</v>
      </c>
      <c r="B973" s="485" t="s">
        <v>241</v>
      </c>
      <c r="C973" s="303" t="s">
        <v>642</v>
      </c>
      <c r="D973" s="304" t="s">
        <v>98</v>
      </c>
      <c r="E973" s="694" t="s">
        <v>306</v>
      </c>
      <c r="F973" s="303" t="s">
        <v>283</v>
      </c>
      <c r="G973" s="303" t="s">
        <v>286</v>
      </c>
      <c r="H973" s="303" t="s">
        <v>100</v>
      </c>
      <c r="I973" s="582" t="str">
        <f>VLOOKUP(H973,'9a-Typen vloeren'!$A$10:$B$40,2,FALSE)</f>
        <v>Sprayen/ conserveren</v>
      </c>
      <c r="J973" s="433">
        <v>8</v>
      </c>
      <c r="K973" s="433">
        <f t="shared" si="78"/>
        <v>8</v>
      </c>
      <c r="L973" s="433">
        <f t="shared" si="79"/>
        <v>0</v>
      </c>
      <c r="M973" s="433">
        <f t="shared" si="80"/>
        <v>0</v>
      </c>
      <c r="N973" s="672">
        <v>2</v>
      </c>
      <c r="O973" s="729" t="e">
        <f>IF(N973="",0,N973*K973/'9b-Vloeronderhoud'!$F$4)</f>
        <v>#DIV/0!</v>
      </c>
      <c r="P973" s="672"/>
      <c r="Q973" s="729" t="e">
        <f>IF(O973="",0,P973*L973/'9b-Vloeronderhoud'!$F$6)</f>
        <v>#DIV/0!</v>
      </c>
      <c r="R973" s="449">
        <v>1</v>
      </c>
      <c r="S973" s="672">
        <v>120</v>
      </c>
      <c r="T973" s="161" t="e">
        <f t="shared" si="81"/>
        <v>#DIV/0!</v>
      </c>
      <c r="U973" s="162">
        <f>IF(S973="nio",0,IF(S973&gt;0,VLOOKUP(G973,'3-Productie normen'!A:K,VLOOKUP(S973,'3-Productie normen'!L:N,3,FALSE),FALSE)))</f>
        <v>0</v>
      </c>
      <c r="V973" s="162">
        <f>VLOOKUP(G973,'3-Productie normen'!A:K,10,FALSE)</f>
        <v>6152.9500017547598</v>
      </c>
      <c r="W973" s="163">
        <f>VLOOKUP(G973,'3-Productie normen'!A:K,11,FALSE)</f>
        <v>0</v>
      </c>
      <c r="X973" s="163"/>
      <c r="Z973" s="129">
        <f t="shared" si="82"/>
        <v>960</v>
      </c>
    </row>
    <row r="974" spans="1:26" ht="14.1" customHeight="1">
      <c r="A974" s="144">
        <v>1012</v>
      </c>
      <c r="B974" s="485" t="s">
        <v>241</v>
      </c>
      <c r="C974" s="303" t="s">
        <v>642</v>
      </c>
      <c r="D974" s="304" t="s">
        <v>98</v>
      </c>
      <c r="E974" s="694" t="s">
        <v>307</v>
      </c>
      <c r="F974" s="303" t="s">
        <v>283</v>
      </c>
      <c r="G974" s="303" t="s">
        <v>286</v>
      </c>
      <c r="H974" s="303" t="s">
        <v>100</v>
      </c>
      <c r="I974" s="582" t="str">
        <f>VLOOKUP(H974,'9a-Typen vloeren'!$A$10:$B$40,2,FALSE)</f>
        <v>Sprayen/ conserveren</v>
      </c>
      <c r="J974" s="433">
        <v>11.5</v>
      </c>
      <c r="K974" s="433">
        <f t="shared" si="78"/>
        <v>11.5</v>
      </c>
      <c r="L974" s="433">
        <f t="shared" si="79"/>
        <v>0</v>
      </c>
      <c r="M974" s="433">
        <f t="shared" si="80"/>
        <v>0</v>
      </c>
      <c r="N974" s="672">
        <v>2</v>
      </c>
      <c r="O974" s="729" t="e">
        <f>IF(N974="",0,N974*K974/'9b-Vloeronderhoud'!$F$4)</f>
        <v>#DIV/0!</v>
      </c>
      <c r="P974" s="672"/>
      <c r="Q974" s="729" t="e">
        <f>IF(O974="",0,P974*L974/'9b-Vloeronderhoud'!$F$6)</f>
        <v>#DIV/0!</v>
      </c>
      <c r="R974" s="449">
        <v>1</v>
      </c>
      <c r="S974" s="672">
        <v>120</v>
      </c>
      <c r="T974" s="161" t="e">
        <f t="shared" si="81"/>
        <v>#DIV/0!</v>
      </c>
      <c r="U974" s="162">
        <f>IF(S974="nio",0,IF(S974&gt;0,VLOOKUP(G974,'3-Productie normen'!A:K,VLOOKUP(S974,'3-Productie normen'!L:N,3,FALSE),FALSE)))</f>
        <v>0</v>
      </c>
      <c r="V974" s="162">
        <f>VLOOKUP(G974,'3-Productie normen'!A:K,10,FALSE)</f>
        <v>6152.9500017547598</v>
      </c>
      <c r="W974" s="163">
        <f>VLOOKUP(G974,'3-Productie normen'!A:K,11,FALSE)</f>
        <v>0</v>
      </c>
      <c r="X974" s="163"/>
      <c r="Z974" s="129">
        <f t="shared" si="82"/>
        <v>1380</v>
      </c>
    </row>
    <row r="975" spans="1:26" ht="14.1" customHeight="1">
      <c r="A975" s="144">
        <v>1013</v>
      </c>
      <c r="B975" s="485" t="s">
        <v>241</v>
      </c>
      <c r="C975" s="303" t="s">
        <v>642</v>
      </c>
      <c r="D975" s="304" t="s">
        <v>98</v>
      </c>
      <c r="E975" s="694" t="s">
        <v>309</v>
      </c>
      <c r="F975" s="303" t="s">
        <v>99</v>
      </c>
      <c r="G975" s="303" t="s">
        <v>99</v>
      </c>
      <c r="H975" s="303" t="s">
        <v>332</v>
      </c>
      <c r="I975" s="582" t="str">
        <f>VLOOKUP(H975,'9a-Typen vloeren'!$A$10:$B$40,2,FALSE)</f>
        <v>Sproei/extraheren</v>
      </c>
      <c r="J975" s="433">
        <v>8.8000001907348633</v>
      </c>
      <c r="K975" s="433">
        <f t="shared" si="78"/>
        <v>0</v>
      </c>
      <c r="L975" s="433">
        <f t="shared" si="79"/>
        <v>0</v>
      </c>
      <c r="M975" s="433">
        <f t="shared" si="80"/>
        <v>8.8000001907348633</v>
      </c>
      <c r="N975" s="672"/>
      <c r="O975" s="729">
        <f>IF(N975="",0,N975*K975/'9b-Vloeronderhoud'!$F$4)</f>
        <v>0</v>
      </c>
      <c r="P975" s="672"/>
      <c r="Q975" s="729" t="e">
        <f>IF(O975="",0,P975*L975/'9b-Vloeronderhoud'!$F$6)</f>
        <v>#DIV/0!</v>
      </c>
      <c r="R975" s="449">
        <v>1</v>
      </c>
      <c r="S975" s="672">
        <v>190</v>
      </c>
      <c r="T975" s="161" t="e">
        <f t="shared" si="81"/>
        <v>#DIV/0!</v>
      </c>
      <c r="U975" s="162">
        <f>IF(S975="nio",0,IF(S975&gt;0,VLOOKUP(G975,'3-Productie normen'!A:K,VLOOKUP(S975,'3-Productie normen'!L:N,3,FALSE),FALSE)))</f>
        <v>0</v>
      </c>
      <c r="V975" s="162">
        <f>VLOOKUP(G975,'3-Productie normen'!A:K,10,FALSE)</f>
        <v>726.97999910354622</v>
      </c>
      <c r="W975" s="163">
        <f>VLOOKUP(G975,'3-Productie normen'!A:K,11,FALSE)</f>
        <v>0</v>
      </c>
      <c r="X975" s="163"/>
      <c r="Z975" s="129">
        <f t="shared" si="82"/>
        <v>1672.000036239624</v>
      </c>
    </row>
    <row r="976" spans="1:26" ht="14.1" customHeight="1">
      <c r="A976" s="144">
        <v>1014</v>
      </c>
      <c r="B976" s="485" t="s">
        <v>241</v>
      </c>
      <c r="C976" s="303" t="s">
        <v>642</v>
      </c>
      <c r="D976" s="304" t="s">
        <v>98</v>
      </c>
      <c r="E976" s="694" t="s">
        <v>311</v>
      </c>
      <c r="F976" s="303" t="s">
        <v>221</v>
      </c>
      <c r="G976" s="303" t="s">
        <v>221</v>
      </c>
      <c r="H976" s="303" t="s">
        <v>100</v>
      </c>
      <c r="I976" s="582" t="str">
        <f>VLOOKUP(H976,'9a-Typen vloeren'!$A$10:$B$40,2,FALSE)</f>
        <v>Sprayen/ conserveren</v>
      </c>
      <c r="J976" s="433">
        <v>53.200000762939453</v>
      </c>
      <c r="K976" s="433">
        <f t="shared" si="78"/>
        <v>53.200000762939453</v>
      </c>
      <c r="L976" s="433">
        <f t="shared" si="79"/>
        <v>0</v>
      </c>
      <c r="M976" s="433">
        <f t="shared" si="80"/>
        <v>0</v>
      </c>
      <c r="N976" s="672"/>
      <c r="O976" s="729">
        <f>IF(N976="",0,N976*K976/'9b-Vloeronderhoud'!$F$4)</f>
        <v>0</v>
      </c>
      <c r="P976" s="672"/>
      <c r="Q976" s="729" t="e">
        <f>IF(O976="",0,P976*L976/'9b-Vloeronderhoud'!$F$6)</f>
        <v>#DIV/0!</v>
      </c>
      <c r="R976" s="449">
        <v>1</v>
      </c>
      <c r="S976" s="672">
        <v>80</v>
      </c>
      <c r="T976" s="161" t="e">
        <f t="shared" si="81"/>
        <v>#DIV/0!</v>
      </c>
      <c r="U976" s="162">
        <f>IF(S976="nio",0,IF(S976&gt;0,VLOOKUP(G976,'3-Productie normen'!A:K,VLOOKUP(S976,'3-Productie normen'!L:N,3,FALSE),FALSE)))</f>
        <v>0</v>
      </c>
      <c r="V976" s="162">
        <f>VLOOKUP(G976,'3-Productie normen'!A:K,10,FALSE)</f>
        <v>16013.110036668773</v>
      </c>
      <c r="W976" s="163">
        <f>VLOOKUP(G976,'3-Productie normen'!A:K,11,FALSE)</f>
        <v>0</v>
      </c>
      <c r="X976" s="163"/>
      <c r="Z976" s="129">
        <f t="shared" si="82"/>
        <v>4256.0000610351563</v>
      </c>
    </row>
    <row r="977" spans="1:26" ht="14.1" customHeight="1">
      <c r="A977" s="144">
        <v>1015</v>
      </c>
      <c r="B977" s="485" t="s">
        <v>241</v>
      </c>
      <c r="C977" s="303" t="s">
        <v>642</v>
      </c>
      <c r="D977" s="304" t="s">
        <v>98</v>
      </c>
      <c r="E977" s="694" t="s">
        <v>312</v>
      </c>
      <c r="F977" s="303" t="s">
        <v>221</v>
      </c>
      <c r="G977" s="460" t="s">
        <v>221</v>
      </c>
      <c r="H977" s="303" t="s">
        <v>100</v>
      </c>
      <c r="I977" s="582" t="str">
        <f>VLOOKUP(H977,'9a-Typen vloeren'!$A$10:$B$40,2,FALSE)</f>
        <v>Sprayen/ conserveren</v>
      </c>
      <c r="J977" s="433">
        <v>51.200000762939453</v>
      </c>
      <c r="K977" s="433">
        <f t="shared" si="78"/>
        <v>51.200000762939453</v>
      </c>
      <c r="L977" s="433">
        <f t="shared" si="79"/>
        <v>0</v>
      </c>
      <c r="M977" s="433">
        <f t="shared" si="80"/>
        <v>0</v>
      </c>
      <c r="N977" s="672"/>
      <c r="O977" s="729">
        <f>IF(N977="",0,N977*K977/'9b-Vloeronderhoud'!$F$4)</f>
        <v>0</v>
      </c>
      <c r="P977" s="672"/>
      <c r="Q977" s="729" t="e">
        <f>IF(O977="",0,P977*L977/'9b-Vloeronderhoud'!$F$6)</f>
        <v>#DIV/0!</v>
      </c>
      <c r="R977" s="449">
        <v>1</v>
      </c>
      <c r="S977" s="672">
        <v>80</v>
      </c>
      <c r="T977" s="161" t="e">
        <f t="shared" si="81"/>
        <v>#DIV/0!</v>
      </c>
      <c r="U977" s="162">
        <f>IF(S977="nio",0,IF(S977&gt;0,VLOOKUP(G977,'3-Productie normen'!A:K,VLOOKUP(S977,'3-Productie normen'!L:N,3,FALSE),FALSE)))</f>
        <v>0</v>
      </c>
      <c r="V977" s="162">
        <f>VLOOKUP(G977,'3-Productie normen'!A:K,10,FALSE)</f>
        <v>16013.110036668773</v>
      </c>
      <c r="W977" s="163">
        <f>VLOOKUP(G977,'3-Productie normen'!A:K,11,FALSE)</f>
        <v>0</v>
      </c>
      <c r="X977" s="163"/>
      <c r="Z977" s="129">
        <f t="shared" si="82"/>
        <v>4096.0000610351563</v>
      </c>
    </row>
    <row r="978" spans="1:26" ht="14.1" customHeight="1">
      <c r="A978" s="144">
        <v>1016</v>
      </c>
      <c r="B978" s="485" t="s">
        <v>241</v>
      </c>
      <c r="C978" s="303" t="s">
        <v>642</v>
      </c>
      <c r="D978" s="304" t="s">
        <v>98</v>
      </c>
      <c r="E978" s="702" t="s">
        <v>314</v>
      </c>
      <c r="F978" s="303" t="s">
        <v>221</v>
      </c>
      <c r="G978" s="122" t="s">
        <v>221</v>
      </c>
      <c r="H978" s="303" t="s">
        <v>100</v>
      </c>
      <c r="I978" s="582" t="str">
        <f>VLOOKUP(H978,'9a-Typen vloeren'!$A$10:$B$40,2,FALSE)</f>
        <v>Sprayen/ conserveren</v>
      </c>
      <c r="J978" s="433">
        <v>71.400001525878906</v>
      </c>
      <c r="K978" s="433">
        <f t="shared" si="78"/>
        <v>71.400001525878906</v>
      </c>
      <c r="L978" s="433">
        <f t="shared" si="79"/>
        <v>0</v>
      </c>
      <c r="M978" s="433">
        <f t="shared" si="80"/>
        <v>0</v>
      </c>
      <c r="N978" s="672"/>
      <c r="O978" s="729">
        <f>IF(N978="",0,N978*K978/'9b-Vloeronderhoud'!$F$4)</f>
        <v>0</v>
      </c>
      <c r="P978" s="672"/>
      <c r="Q978" s="729" t="e">
        <f>IF(O978="",0,P978*L978/'9b-Vloeronderhoud'!$F$6)</f>
        <v>#DIV/0!</v>
      </c>
      <c r="R978" s="449">
        <v>1</v>
      </c>
      <c r="S978" s="672">
        <v>80</v>
      </c>
      <c r="T978" s="161" t="e">
        <f t="shared" si="81"/>
        <v>#DIV/0!</v>
      </c>
      <c r="U978" s="162">
        <f>IF(S978="nio",0,IF(S978&gt;0,VLOOKUP(G978,'3-Productie normen'!A:K,VLOOKUP(S978,'3-Productie normen'!L:N,3,FALSE),FALSE)))</f>
        <v>0</v>
      </c>
      <c r="V978" s="162">
        <f>VLOOKUP(G978,'3-Productie normen'!A:K,10,FALSE)</f>
        <v>16013.110036668773</v>
      </c>
      <c r="W978" s="163">
        <f>VLOOKUP(G978,'3-Productie normen'!A:K,11,FALSE)</f>
        <v>0</v>
      </c>
      <c r="X978" s="163"/>
      <c r="Z978" s="129">
        <f t="shared" si="82"/>
        <v>5712.0001220703125</v>
      </c>
    </row>
    <row r="979" spans="1:26" ht="14.1" customHeight="1">
      <c r="A979" s="144">
        <v>1017</v>
      </c>
      <c r="B979" s="485" t="s">
        <v>241</v>
      </c>
      <c r="C979" s="303" t="s">
        <v>642</v>
      </c>
      <c r="D979" s="304" t="s">
        <v>98</v>
      </c>
      <c r="E979" s="694" t="s">
        <v>315</v>
      </c>
      <c r="F979" s="303" t="s">
        <v>302</v>
      </c>
      <c r="G979" s="122" t="s">
        <v>18</v>
      </c>
      <c r="H979" s="534" t="s">
        <v>954</v>
      </c>
      <c r="I979" s="582" t="str">
        <f>VLOOKUP(H979,'9a-Typen vloeren'!$A$10:$B$40,2,FALSE)</f>
        <v>zie kwaliteitsontwerp</v>
      </c>
      <c r="J979" s="433">
        <v>5.5999999046325684</v>
      </c>
      <c r="K979" s="433">
        <f t="shared" si="78"/>
        <v>0</v>
      </c>
      <c r="L979" s="433">
        <f t="shared" si="79"/>
        <v>0</v>
      </c>
      <c r="M979" s="433">
        <f t="shared" si="80"/>
        <v>0</v>
      </c>
      <c r="N979" s="672"/>
      <c r="O979" s="729">
        <f>IF(N979="",0,N979*K979/'9b-Vloeronderhoud'!$F$4)</f>
        <v>0</v>
      </c>
      <c r="P979" s="672"/>
      <c r="Q979" s="729" t="e">
        <f>IF(O979="",0,P979*L979/'9b-Vloeronderhoud'!$F$6)</f>
        <v>#DIV/0!</v>
      </c>
      <c r="R979" s="449">
        <v>1</v>
      </c>
      <c r="S979" s="672">
        <v>190</v>
      </c>
      <c r="T979" s="161" t="e">
        <f t="shared" si="81"/>
        <v>#DIV/0!</v>
      </c>
      <c r="U979" s="162">
        <f>IF(S979="nio",0,IF(S979&gt;0,VLOOKUP(G979,'3-Productie normen'!A:K,VLOOKUP(S979,'3-Productie normen'!L:N,3,FALSE),FALSE)))</f>
        <v>0</v>
      </c>
      <c r="V979" s="162">
        <f>VLOOKUP(G979,'3-Productie normen'!A:K,10,FALSE)</f>
        <v>1859.5880019121171</v>
      </c>
      <c r="W979" s="163">
        <f>VLOOKUP(G979,'3-Productie normen'!A:K,11,FALSE)</f>
        <v>0</v>
      </c>
      <c r="X979" s="163"/>
      <c r="Z979" s="129">
        <f t="shared" si="82"/>
        <v>1063.999981880188</v>
      </c>
    </row>
    <row r="980" spans="1:26" ht="14.1" customHeight="1">
      <c r="A980" s="144">
        <v>1018</v>
      </c>
      <c r="B980" s="485" t="s">
        <v>241</v>
      </c>
      <c r="C980" s="303" t="s">
        <v>642</v>
      </c>
      <c r="D980" s="304" t="s">
        <v>98</v>
      </c>
      <c r="E980" s="694" t="s">
        <v>317</v>
      </c>
      <c r="F980" s="303" t="s">
        <v>221</v>
      </c>
      <c r="G980" s="122" t="s">
        <v>221</v>
      </c>
      <c r="H980" s="303" t="s">
        <v>100</v>
      </c>
      <c r="I980" s="582" t="str">
        <f>VLOOKUP(H980,'9a-Typen vloeren'!$A$10:$B$40,2,FALSE)</f>
        <v>Sprayen/ conserveren</v>
      </c>
      <c r="J980" s="433">
        <v>51.849998474121094</v>
      </c>
      <c r="K980" s="433">
        <f t="shared" si="78"/>
        <v>51.849998474121094</v>
      </c>
      <c r="L980" s="433">
        <f t="shared" si="79"/>
        <v>0</v>
      </c>
      <c r="M980" s="433">
        <f t="shared" si="80"/>
        <v>0</v>
      </c>
      <c r="N980" s="672"/>
      <c r="O980" s="729">
        <f>IF(N980="",0,N980*K980/'9b-Vloeronderhoud'!$F$4)</f>
        <v>0</v>
      </c>
      <c r="P980" s="672"/>
      <c r="Q980" s="729" t="e">
        <f>IF(O980="",0,P980*L980/'9b-Vloeronderhoud'!$F$6)</f>
        <v>#DIV/0!</v>
      </c>
      <c r="R980" s="449">
        <v>1</v>
      </c>
      <c r="S980" s="672">
        <v>80</v>
      </c>
      <c r="T980" s="161" t="e">
        <f t="shared" si="81"/>
        <v>#DIV/0!</v>
      </c>
      <c r="U980" s="162">
        <f>IF(S980="nio",0,IF(S980&gt;0,VLOOKUP(G980,'3-Productie normen'!A:K,VLOOKUP(S980,'3-Productie normen'!L:N,3,FALSE),FALSE)))</f>
        <v>0</v>
      </c>
      <c r="V980" s="162">
        <f>VLOOKUP(G980,'3-Productie normen'!A:K,10,FALSE)</f>
        <v>16013.110036668773</v>
      </c>
      <c r="W980" s="163">
        <f>VLOOKUP(G980,'3-Productie normen'!A:K,11,FALSE)</f>
        <v>0</v>
      </c>
      <c r="X980" s="163"/>
      <c r="Z980" s="129">
        <f t="shared" si="82"/>
        <v>4147.9998779296875</v>
      </c>
    </row>
    <row r="981" spans="1:26" ht="14.1" customHeight="1">
      <c r="A981" s="144">
        <v>1019</v>
      </c>
      <c r="B981" s="485" t="s">
        <v>241</v>
      </c>
      <c r="C981" s="303" t="s">
        <v>642</v>
      </c>
      <c r="D981" s="304" t="s">
        <v>98</v>
      </c>
      <c r="E981" s="694" t="s">
        <v>318</v>
      </c>
      <c r="F981" s="303" t="s">
        <v>221</v>
      </c>
      <c r="G981" s="460" t="s">
        <v>221</v>
      </c>
      <c r="H981" s="303" t="s">
        <v>100</v>
      </c>
      <c r="I981" s="582" t="str">
        <f>VLOOKUP(H981,'9a-Typen vloeren'!$A$10:$B$40,2,FALSE)</f>
        <v>Sprayen/ conserveren</v>
      </c>
      <c r="J981" s="433">
        <v>50</v>
      </c>
      <c r="K981" s="433">
        <f t="shared" si="78"/>
        <v>50</v>
      </c>
      <c r="L981" s="433">
        <f t="shared" si="79"/>
        <v>0</v>
      </c>
      <c r="M981" s="433">
        <f t="shared" si="80"/>
        <v>0</v>
      </c>
      <c r="N981" s="672"/>
      <c r="O981" s="729">
        <f>IF(N981="",0,N981*K981/'9b-Vloeronderhoud'!$F$4)</f>
        <v>0</v>
      </c>
      <c r="P981" s="672"/>
      <c r="Q981" s="729" t="e">
        <f>IF(O981="",0,P981*L981/'9b-Vloeronderhoud'!$F$6)</f>
        <v>#DIV/0!</v>
      </c>
      <c r="R981" s="449">
        <v>1</v>
      </c>
      <c r="S981" s="672">
        <v>80</v>
      </c>
      <c r="T981" s="161" t="e">
        <f t="shared" si="81"/>
        <v>#DIV/0!</v>
      </c>
      <c r="U981" s="162">
        <f>IF(S981="nio",0,IF(S981&gt;0,VLOOKUP(G981,'3-Productie normen'!A:K,VLOOKUP(S981,'3-Productie normen'!L:N,3,FALSE),FALSE)))</f>
        <v>0</v>
      </c>
      <c r="V981" s="162">
        <f>VLOOKUP(G981,'3-Productie normen'!A:K,10,FALSE)</f>
        <v>16013.110036668773</v>
      </c>
      <c r="W981" s="163">
        <f>VLOOKUP(G981,'3-Productie normen'!A:K,11,FALSE)</f>
        <v>0</v>
      </c>
      <c r="X981" s="163"/>
      <c r="Z981" s="129">
        <f t="shared" si="82"/>
        <v>4000</v>
      </c>
    </row>
    <row r="982" spans="1:26" ht="14.1" customHeight="1">
      <c r="A982" s="144">
        <v>1020</v>
      </c>
      <c r="B982" s="485" t="s">
        <v>241</v>
      </c>
      <c r="C982" s="303" t="s">
        <v>642</v>
      </c>
      <c r="D982" s="304" t="s">
        <v>98</v>
      </c>
      <c r="E982" s="694" t="s">
        <v>319</v>
      </c>
      <c r="F982" s="303" t="s">
        <v>302</v>
      </c>
      <c r="G982" s="122" t="s">
        <v>18</v>
      </c>
      <c r="H982" s="534" t="s">
        <v>954</v>
      </c>
      <c r="I982" s="582" t="str">
        <f>VLOOKUP(H982,'9a-Typen vloeren'!$A$10:$B$40,2,FALSE)</f>
        <v>zie kwaliteitsontwerp</v>
      </c>
      <c r="J982" s="433">
        <v>11.100000381469727</v>
      </c>
      <c r="K982" s="433">
        <f t="shared" si="78"/>
        <v>0</v>
      </c>
      <c r="L982" s="433">
        <f t="shared" si="79"/>
        <v>0</v>
      </c>
      <c r="M982" s="433">
        <f t="shared" si="80"/>
        <v>0</v>
      </c>
      <c r="N982" s="672"/>
      <c r="O982" s="729">
        <f>IF(N982="",0,N982*K982/'9b-Vloeronderhoud'!$F$4)</f>
        <v>0</v>
      </c>
      <c r="P982" s="672"/>
      <c r="Q982" s="729" t="e">
        <f>IF(O982="",0,P982*L982/'9b-Vloeronderhoud'!$F$6)</f>
        <v>#DIV/0!</v>
      </c>
      <c r="R982" s="449">
        <v>1</v>
      </c>
      <c r="S982" s="672">
        <v>190</v>
      </c>
      <c r="T982" s="161" t="e">
        <f t="shared" si="81"/>
        <v>#DIV/0!</v>
      </c>
      <c r="U982" s="162">
        <f>IF(S982="nio",0,IF(S982&gt;0,VLOOKUP(G982,'3-Productie normen'!A:K,VLOOKUP(S982,'3-Productie normen'!L:N,3,FALSE),FALSE)))</f>
        <v>0</v>
      </c>
      <c r="V982" s="162">
        <f>VLOOKUP(G982,'3-Productie normen'!A:K,10,FALSE)</f>
        <v>1859.5880019121171</v>
      </c>
      <c r="W982" s="163">
        <f>VLOOKUP(G982,'3-Productie normen'!A:K,11,FALSE)</f>
        <v>0</v>
      </c>
      <c r="X982" s="163"/>
      <c r="Z982" s="129">
        <f t="shared" si="82"/>
        <v>2109.000072479248</v>
      </c>
    </row>
    <row r="983" spans="1:26" ht="14.1" customHeight="1">
      <c r="A983" s="144">
        <v>1021</v>
      </c>
      <c r="B983" s="485" t="s">
        <v>241</v>
      </c>
      <c r="C983" s="303" t="s">
        <v>642</v>
      </c>
      <c r="D983" s="304" t="s">
        <v>98</v>
      </c>
      <c r="E983" s="694" t="s">
        <v>320</v>
      </c>
      <c r="F983" s="303" t="s">
        <v>281</v>
      </c>
      <c r="G983" s="460" t="s">
        <v>881</v>
      </c>
      <c r="H983" s="303" t="s">
        <v>101</v>
      </c>
      <c r="I983" s="582" t="str">
        <f>VLOOKUP(H983,'9a-Typen vloeren'!$A$10:$B$40,2,FALSE)</f>
        <v>Schrobben</v>
      </c>
      <c r="J983" s="433">
        <v>1.7000000476837158</v>
      </c>
      <c r="K983" s="433">
        <f t="shared" si="78"/>
        <v>0</v>
      </c>
      <c r="L983" s="433">
        <f t="shared" si="79"/>
        <v>0</v>
      </c>
      <c r="M983" s="433">
        <f t="shared" si="80"/>
        <v>0</v>
      </c>
      <c r="N983" s="672"/>
      <c r="O983" s="729">
        <f>IF(N983="",0,N983*K983/'9b-Vloeronderhoud'!$F$4)</f>
        <v>0</v>
      </c>
      <c r="P983" s="672"/>
      <c r="Q983" s="729" t="e">
        <f>IF(O983="",0,P983*L983/'9b-Vloeronderhoud'!$F$6)</f>
        <v>#DIV/0!</v>
      </c>
      <c r="R983" s="449">
        <v>1</v>
      </c>
      <c r="S983" s="672" t="s">
        <v>179</v>
      </c>
      <c r="T983" s="161">
        <f t="shared" si="81"/>
        <v>0</v>
      </c>
      <c r="U983" s="162">
        <f>IF(S983="nio",0,IF(S983&gt;0,VLOOKUP(G983,'3-Productie normen'!A:K,VLOOKUP(S983,'3-Productie normen'!L:N,3,FALSE),FALSE)))</f>
        <v>0</v>
      </c>
      <c r="V983" s="162">
        <f>VLOOKUP(G983,'3-Productie normen'!A:K,10,FALSE)</f>
        <v>5262.809993648526</v>
      </c>
      <c r="W983" s="163">
        <f>VLOOKUP(G983,'3-Productie normen'!A:K,11,FALSE)</f>
        <v>0</v>
      </c>
      <c r="X983" s="163"/>
      <c r="Z983" s="129">
        <f t="shared" si="82"/>
        <v>0</v>
      </c>
    </row>
    <row r="984" spans="1:26" ht="14.1" customHeight="1">
      <c r="A984" s="144">
        <v>1022</v>
      </c>
      <c r="B984" s="485" t="s">
        <v>241</v>
      </c>
      <c r="C984" s="303" t="s">
        <v>642</v>
      </c>
      <c r="D984" s="304" t="s">
        <v>98</v>
      </c>
      <c r="E984" s="694" t="s">
        <v>321</v>
      </c>
      <c r="F984" s="303" t="s">
        <v>551</v>
      </c>
      <c r="G984" s="126" t="s">
        <v>285</v>
      </c>
      <c r="H984" s="303" t="s">
        <v>100</v>
      </c>
      <c r="I984" s="582" t="str">
        <f>VLOOKUP(H984,'9a-Typen vloeren'!$A$10:$B$40,2,FALSE)</f>
        <v>Sprayen/ conserveren</v>
      </c>
      <c r="J984" s="433">
        <v>65</v>
      </c>
      <c r="K984" s="433">
        <f t="shared" si="78"/>
        <v>65</v>
      </c>
      <c r="L984" s="433">
        <f t="shared" si="79"/>
        <v>0</v>
      </c>
      <c r="M984" s="433">
        <f t="shared" si="80"/>
        <v>0</v>
      </c>
      <c r="N984" s="672"/>
      <c r="O984" s="729">
        <f>IF(N984="",0,N984*K984/'9b-Vloeronderhoud'!$F$4)</f>
        <v>0</v>
      </c>
      <c r="P984" s="672"/>
      <c r="Q984" s="729" t="e">
        <f>IF(O984="",0,P984*L984/'9b-Vloeronderhoud'!$F$6)</f>
        <v>#DIV/0!</v>
      </c>
      <c r="R984" s="449">
        <v>1</v>
      </c>
      <c r="S984" s="672">
        <v>190</v>
      </c>
      <c r="T984" s="161" t="e">
        <f t="shared" si="81"/>
        <v>#DIV/0!</v>
      </c>
      <c r="U984" s="162">
        <f>IF(S984="nio",0,IF(S984&gt;0,VLOOKUP(G984,'3-Productie normen'!A:K,VLOOKUP(S984,'3-Productie normen'!L:N,3,FALSE),FALSE)))</f>
        <v>0</v>
      </c>
      <c r="V984" s="162">
        <f>VLOOKUP(G984,'3-Productie normen'!A:K,10,FALSE)</f>
        <v>3305.8200070953367</v>
      </c>
      <c r="W984" s="163">
        <f>VLOOKUP(G984,'3-Productie normen'!A:K,11,FALSE)</f>
        <v>0</v>
      </c>
      <c r="X984" s="163"/>
      <c r="Z984" s="129">
        <f t="shared" si="82"/>
        <v>12350</v>
      </c>
    </row>
    <row r="985" spans="1:26" ht="14.1" customHeight="1">
      <c r="A985" s="144">
        <v>1023</v>
      </c>
      <c r="B985" s="485" t="s">
        <v>241</v>
      </c>
      <c r="C985" s="303" t="s">
        <v>642</v>
      </c>
      <c r="D985" s="304" t="s">
        <v>98</v>
      </c>
      <c r="E985" s="694" t="s">
        <v>323</v>
      </c>
      <c r="F985" s="303" t="s">
        <v>379</v>
      </c>
      <c r="G985" s="460" t="s">
        <v>881</v>
      </c>
      <c r="H985" s="303" t="s">
        <v>100</v>
      </c>
      <c r="I985" s="582" t="str">
        <f>VLOOKUP(H985,'9a-Typen vloeren'!$A$10:$B$40,2,FALSE)</f>
        <v>Sprayen/ conserveren</v>
      </c>
      <c r="J985" s="433">
        <v>4.8000001907348633</v>
      </c>
      <c r="K985" s="433">
        <f t="shared" si="78"/>
        <v>0</v>
      </c>
      <c r="L985" s="433">
        <f t="shared" si="79"/>
        <v>0</v>
      </c>
      <c r="M985" s="433">
        <f t="shared" si="80"/>
        <v>0</v>
      </c>
      <c r="N985" s="672"/>
      <c r="O985" s="729">
        <f>IF(N985="",0,N985*K985/'9b-Vloeronderhoud'!$F$4)</f>
        <v>0</v>
      </c>
      <c r="P985" s="672"/>
      <c r="Q985" s="729" t="e">
        <f>IF(O985="",0,P985*L985/'9b-Vloeronderhoud'!$F$6)</f>
        <v>#DIV/0!</v>
      </c>
      <c r="R985" s="449">
        <v>1</v>
      </c>
      <c r="S985" s="672" t="s">
        <v>179</v>
      </c>
      <c r="T985" s="161">
        <f t="shared" si="81"/>
        <v>0</v>
      </c>
      <c r="U985" s="162">
        <f>IF(S985="nio",0,IF(S985&gt;0,VLOOKUP(G985,'3-Productie normen'!A:K,VLOOKUP(S985,'3-Productie normen'!L:N,3,FALSE),FALSE)))</f>
        <v>0</v>
      </c>
      <c r="V985" s="162">
        <f>VLOOKUP(G985,'3-Productie normen'!A:K,10,FALSE)</f>
        <v>5262.809993648526</v>
      </c>
      <c r="W985" s="163">
        <f>VLOOKUP(G985,'3-Productie normen'!A:K,11,FALSE)</f>
        <v>0</v>
      </c>
      <c r="X985" s="163"/>
      <c r="Z985" s="129">
        <f t="shared" si="82"/>
        <v>0</v>
      </c>
    </row>
    <row r="986" spans="1:26" ht="14.1" customHeight="1">
      <c r="A986" s="144">
        <v>1024</v>
      </c>
      <c r="B986" s="485" t="s">
        <v>241</v>
      </c>
      <c r="C986" s="303" t="s">
        <v>642</v>
      </c>
      <c r="D986" s="304" t="s">
        <v>98</v>
      </c>
      <c r="E986" s="694" t="s">
        <v>325</v>
      </c>
      <c r="F986" s="303" t="s">
        <v>282</v>
      </c>
      <c r="G986" s="460" t="s">
        <v>881</v>
      </c>
      <c r="H986" s="303" t="s">
        <v>100</v>
      </c>
      <c r="I986" s="582" t="str">
        <f>VLOOKUP(H986,'9a-Typen vloeren'!$A$10:$B$40,2,FALSE)</f>
        <v>Sprayen/ conserveren</v>
      </c>
      <c r="J986" s="433">
        <v>8</v>
      </c>
      <c r="K986" s="433">
        <f t="shared" si="78"/>
        <v>0</v>
      </c>
      <c r="L986" s="433">
        <f t="shared" si="79"/>
        <v>0</v>
      </c>
      <c r="M986" s="433">
        <f t="shared" si="80"/>
        <v>0</v>
      </c>
      <c r="N986" s="672"/>
      <c r="O986" s="729">
        <f>IF(N986="",0,N986*K986/'9b-Vloeronderhoud'!$F$4)</f>
        <v>0</v>
      </c>
      <c r="P986" s="672"/>
      <c r="Q986" s="729" t="e">
        <f>IF(O986="",0,P986*L986/'9b-Vloeronderhoud'!$F$6)</f>
        <v>#DIV/0!</v>
      </c>
      <c r="R986" s="449">
        <v>1</v>
      </c>
      <c r="S986" s="672" t="s">
        <v>179</v>
      </c>
      <c r="T986" s="161">
        <f t="shared" si="81"/>
        <v>0</v>
      </c>
      <c r="U986" s="162">
        <f>IF(S986="nio",0,IF(S986&gt;0,VLOOKUP(G986,'3-Productie normen'!A:K,VLOOKUP(S986,'3-Productie normen'!L:N,3,FALSE),FALSE)))</f>
        <v>0</v>
      </c>
      <c r="V986" s="162">
        <f>VLOOKUP(G986,'3-Productie normen'!A:K,10,FALSE)</f>
        <v>5262.809993648526</v>
      </c>
      <c r="W986" s="163">
        <f>VLOOKUP(G986,'3-Productie normen'!A:K,11,FALSE)</f>
        <v>0</v>
      </c>
      <c r="X986" s="163"/>
      <c r="Z986" s="129">
        <f t="shared" si="82"/>
        <v>0</v>
      </c>
    </row>
    <row r="987" spans="1:26" ht="14.1" customHeight="1">
      <c r="A987" s="144">
        <v>1025</v>
      </c>
      <c r="B987" s="485" t="s">
        <v>241</v>
      </c>
      <c r="C987" s="303" t="s">
        <v>642</v>
      </c>
      <c r="D987" s="304" t="s">
        <v>98</v>
      </c>
      <c r="E987" s="694" t="s">
        <v>326</v>
      </c>
      <c r="F987" s="303" t="s">
        <v>282</v>
      </c>
      <c r="G987" s="460" t="s">
        <v>881</v>
      </c>
      <c r="H987" s="303" t="s">
        <v>100</v>
      </c>
      <c r="I987" s="582" t="str">
        <f>VLOOKUP(H987,'9a-Typen vloeren'!$A$10:$B$40,2,FALSE)</f>
        <v>Sprayen/ conserveren</v>
      </c>
      <c r="J987" s="433">
        <v>8</v>
      </c>
      <c r="K987" s="433">
        <f t="shared" si="78"/>
        <v>0</v>
      </c>
      <c r="L987" s="433">
        <f t="shared" si="79"/>
        <v>0</v>
      </c>
      <c r="M987" s="433">
        <f t="shared" si="80"/>
        <v>0</v>
      </c>
      <c r="N987" s="672"/>
      <c r="O987" s="729">
        <f>IF(N987="",0,N987*K987/'9b-Vloeronderhoud'!$F$4)</f>
        <v>0</v>
      </c>
      <c r="P987" s="672"/>
      <c r="Q987" s="729" t="e">
        <f>IF(O987="",0,P987*L987/'9b-Vloeronderhoud'!$F$6)</f>
        <v>#DIV/0!</v>
      </c>
      <c r="R987" s="449">
        <v>1</v>
      </c>
      <c r="S987" s="672" t="s">
        <v>179</v>
      </c>
      <c r="T987" s="161">
        <f t="shared" si="81"/>
        <v>0</v>
      </c>
      <c r="U987" s="162">
        <f>IF(S987="nio",0,IF(S987&gt;0,VLOOKUP(G987,'3-Productie normen'!A:K,VLOOKUP(S987,'3-Productie normen'!L:N,3,FALSE),FALSE)))</f>
        <v>0</v>
      </c>
      <c r="V987" s="162">
        <f>VLOOKUP(G987,'3-Productie normen'!A:K,10,FALSE)</f>
        <v>5262.809993648526</v>
      </c>
      <c r="W987" s="163">
        <f>VLOOKUP(G987,'3-Productie normen'!A:K,11,FALSE)</f>
        <v>0</v>
      </c>
      <c r="X987" s="163"/>
      <c r="Z987" s="129">
        <f t="shared" si="82"/>
        <v>0</v>
      </c>
    </row>
    <row r="988" spans="1:26" ht="14.1" customHeight="1">
      <c r="A988" s="144">
        <v>1026</v>
      </c>
      <c r="B988" s="485" t="s">
        <v>241</v>
      </c>
      <c r="C988" s="303" t="s">
        <v>642</v>
      </c>
      <c r="D988" s="304" t="s">
        <v>98</v>
      </c>
      <c r="E988" s="694" t="s">
        <v>328</v>
      </c>
      <c r="F988" s="303" t="s">
        <v>341</v>
      </c>
      <c r="G988" s="303" t="s">
        <v>190</v>
      </c>
      <c r="H988" s="303" t="s">
        <v>100</v>
      </c>
      <c r="I988" s="582" t="str">
        <f>VLOOKUP(H988,'9a-Typen vloeren'!$A$10:$B$40,2,FALSE)</f>
        <v>Sprayen/ conserveren</v>
      </c>
      <c r="J988" s="433">
        <v>6.4000000953674316</v>
      </c>
      <c r="K988" s="433">
        <f t="shared" si="78"/>
        <v>6.4000000953674316</v>
      </c>
      <c r="L988" s="433">
        <f t="shared" si="79"/>
        <v>0</v>
      </c>
      <c r="M988" s="433">
        <f t="shared" si="80"/>
        <v>0</v>
      </c>
      <c r="N988" s="672">
        <v>2</v>
      </c>
      <c r="O988" s="729" t="e">
        <f>IF(N988="",0,N988*K988/'9b-Vloeronderhoud'!$F$4)</f>
        <v>#DIV/0!</v>
      </c>
      <c r="P988" s="672"/>
      <c r="Q988" s="729" t="e">
        <f>IF(O988="",0,P988*L988/'9b-Vloeronderhoud'!$F$6)</f>
        <v>#DIV/0!</v>
      </c>
      <c r="R988" s="449">
        <v>1</v>
      </c>
      <c r="S988" s="672">
        <v>40</v>
      </c>
      <c r="T988" s="161" t="e">
        <f t="shared" si="81"/>
        <v>#DIV/0!</v>
      </c>
      <c r="U988" s="162">
        <f>IF(S988="nio",0,IF(S988&gt;0,VLOOKUP(G988,'3-Productie normen'!A:K,VLOOKUP(S988,'3-Productie normen'!L:N,3,FALSE),FALSE)))</f>
        <v>0</v>
      </c>
      <c r="V988" s="162">
        <f>VLOOKUP(G988,'3-Productie normen'!A:K,10,FALSE)</f>
        <v>281.65000052452086</v>
      </c>
      <c r="W988" s="163">
        <f>VLOOKUP(G988,'3-Productie normen'!A:K,11,FALSE)</f>
        <v>0</v>
      </c>
      <c r="X988" s="163"/>
      <c r="Z988" s="129">
        <f t="shared" si="82"/>
        <v>256.00000381469727</v>
      </c>
    </row>
    <row r="989" spans="1:26" ht="14.1" customHeight="1">
      <c r="A989" s="144">
        <v>1027</v>
      </c>
      <c r="B989" s="485" t="s">
        <v>241</v>
      </c>
      <c r="C989" s="303" t="s">
        <v>642</v>
      </c>
      <c r="D989" s="304" t="s">
        <v>98</v>
      </c>
      <c r="E989" s="694" t="s">
        <v>329</v>
      </c>
      <c r="F989" s="303" t="s">
        <v>221</v>
      </c>
      <c r="G989" s="546" t="s">
        <v>221</v>
      </c>
      <c r="H989" s="303" t="s">
        <v>100</v>
      </c>
      <c r="I989" s="582" t="str">
        <f>VLOOKUP(H989,'9a-Typen vloeren'!$A$10:$B$40,2,FALSE)</f>
        <v>Sprayen/ conserveren</v>
      </c>
      <c r="J989" s="433">
        <v>50</v>
      </c>
      <c r="K989" s="433">
        <f t="shared" si="78"/>
        <v>50</v>
      </c>
      <c r="L989" s="433">
        <f t="shared" si="79"/>
        <v>0</v>
      </c>
      <c r="M989" s="433">
        <f t="shared" si="80"/>
        <v>0</v>
      </c>
      <c r="N989" s="672"/>
      <c r="O989" s="729">
        <f>IF(N989="",0,N989*K989/'9b-Vloeronderhoud'!$F$4)</f>
        <v>0</v>
      </c>
      <c r="P989" s="672"/>
      <c r="Q989" s="729" t="e">
        <f>IF(O989="",0,P989*L989/'9b-Vloeronderhoud'!$F$6)</f>
        <v>#DIV/0!</v>
      </c>
      <c r="R989" s="449">
        <v>1</v>
      </c>
      <c r="S989" s="672">
        <v>80</v>
      </c>
      <c r="T989" s="161" t="e">
        <f t="shared" si="81"/>
        <v>#DIV/0!</v>
      </c>
      <c r="U989" s="162">
        <f>IF(S989="nio",0,IF(S989&gt;0,VLOOKUP(G989,'3-Productie normen'!A:K,VLOOKUP(S989,'3-Productie normen'!L:N,3,FALSE),FALSE)))</f>
        <v>0</v>
      </c>
      <c r="V989" s="162">
        <f>VLOOKUP(G989,'3-Productie normen'!A:K,10,FALSE)</f>
        <v>16013.110036668773</v>
      </c>
      <c r="W989" s="163">
        <f>VLOOKUP(G989,'3-Productie normen'!A:K,11,FALSE)</f>
        <v>0</v>
      </c>
      <c r="X989" s="163"/>
      <c r="Z989" s="129">
        <f t="shared" si="82"/>
        <v>4000</v>
      </c>
    </row>
    <row r="990" spans="1:26" ht="14.1" customHeight="1">
      <c r="A990" s="144">
        <v>1028</v>
      </c>
      <c r="B990" s="485" t="s">
        <v>241</v>
      </c>
      <c r="C990" s="303" t="s">
        <v>642</v>
      </c>
      <c r="D990" s="304" t="s">
        <v>98</v>
      </c>
      <c r="E990" s="694" t="s">
        <v>330</v>
      </c>
      <c r="F990" s="303" t="s">
        <v>99</v>
      </c>
      <c r="G990" s="546" t="s">
        <v>99</v>
      </c>
      <c r="H990" s="303" t="s">
        <v>100</v>
      </c>
      <c r="I990" s="582" t="str">
        <f>VLOOKUP(H990,'9a-Typen vloeren'!$A$10:$B$40,2,FALSE)</f>
        <v>Sprayen/ conserveren</v>
      </c>
      <c r="J990" s="433">
        <v>41.200000762939453</v>
      </c>
      <c r="K990" s="433">
        <f t="shared" si="78"/>
        <v>41.200000762939453</v>
      </c>
      <c r="L990" s="433">
        <f t="shared" si="79"/>
        <v>0</v>
      </c>
      <c r="M990" s="433">
        <f t="shared" si="80"/>
        <v>0</v>
      </c>
      <c r="N990" s="672">
        <v>2</v>
      </c>
      <c r="O990" s="729" t="e">
        <f>IF(N990="",0,N990*K990/'9b-Vloeronderhoud'!$F$4)</f>
        <v>#DIV/0!</v>
      </c>
      <c r="P990" s="672"/>
      <c r="Q990" s="729" t="e">
        <f>IF(O990="",0,P990*L990/'9b-Vloeronderhoud'!$F$6)</f>
        <v>#DIV/0!</v>
      </c>
      <c r="R990" s="449">
        <v>1</v>
      </c>
      <c r="S990" s="672">
        <v>190</v>
      </c>
      <c r="T990" s="161" t="e">
        <f t="shared" si="81"/>
        <v>#DIV/0!</v>
      </c>
      <c r="U990" s="162">
        <f>IF(S990="nio",0,IF(S990&gt;0,VLOOKUP(G990,'3-Productie normen'!A:K,VLOOKUP(S990,'3-Productie normen'!L:N,3,FALSE),FALSE)))</f>
        <v>0</v>
      </c>
      <c r="V990" s="162">
        <f>VLOOKUP(G990,'3-Productie normen'!A:K,10,FALSE)</f>
        <v>726.97999910354622</v>
      </c>
      <c r="W990" s="163">
        <f>VLOOKUP(G990,'3-Productie normen'!A:K,11,FALSE)</f>
        <v>0</v>
      </c>
      <c r="X990" s="163"/>
      <c r="Z990" s="129">
        <f t="shared" si="82"/>
        <v>7828.0001449584961</v>
      </c>
    </row>
    <row r="991" spans="1:26" ht="14.1" customHeight="1">
      <c r="A991" s="144">
        <v>1029</v>
      </c>
      <c r="B991" s="485" t="s">
        <v>241</v>
      </c>
      <c r="C991" s="303" t="s">
        <v>642</v>
      </c>
      <c r="D991" s="304" t="s">
        <v>98</v>
      </c>
      <c r="E991" s="694" t="s">
        <v>330</v>
      </c>
      <c r="F991" s="303" t="s">
        <v>99</v>
      </c>
      <c r="G991" s="460" t="s">
        <v>99</v>
      </c>
      <c r="H991" s="303" t="s">
        <v>332</v>
      </c>
      <c r="I991" s="582" t="str">
        <f>VLOOKUP(H991,'9a-Typen vloeren'!$A$10:$B$40,2,FALSE)</f>
        <v>Sproei/extraheren</v>
      </c>
      <c r="J991" s="433">
        <v>2.5</v>
      </c>
      <c r="K991" s="433">
        <f t="shared" si="78"/>
        <v>0</v>
      </c>
      <c r="L991" s="433">
        <f t="shared" si="79"/>
        <v>0</v>
      </c>
      <c r="M991" s="433">
        <f t="shared" si="80"/>
        <v>2.5</v>
      </c>
      <c r="N991" s="672"/>
      <c r="O991" s="729">
        <f>IF(N991="",0,N991*K991/'9b-Vloeronderhoud'!$F$4)</f>
        <v>0</v>
      </c>
      <c r="P991" s="672"/>
      <c r="Q991" s="729" t="e">
        <f>IF(O991="",0,P991*L991/'9b-Vloeronderhoud'!$F$6)</f>
        <v>#DIV/0!</v>
      </c>
      <c r="R991" s="449">
        <v>1</v>
      </c>
      <c r="S991" s="672">
        <v>190</v>
      </c>
      <c r="T991" s="161" t="e">
        <f t="shared" si="81"/>
        <v>#DIV/0!</v>
      </c>
      <c r="U991" s="162">
        <f>IF(S991="nio",0,IF(S991&gt;0,VLOOKUP(G991,'3-Productie normen'!A:K,VLOOKUP(S991,'3-Productie normen'!L:N,3,FALSE),FALSE)))</f>
        <v>0</v>
      </c>
      <c r="V991" s="162">
        <f>VLOOKUP(G991,'3-Productie normen'!A:K,10,FALSE)</f>
        <v>726.97999910354622</v>
      </c>
      <c r="W991" s="163">
        <f>VLOOKUP(G991,'3-Productie normen'!A:K,11,FALSE)</f>
        <v>0</v>
      </c>
      <c r="X991" s="163"/>
      <c r="Z991" s="129">
        <f t="shared" si="82"/>
        <v>475</v>
      </c>
    </row>
    <row r="992" spans="1:26" ht="14.1" customHeight="1">
      <c r="A992" s="144">
        <v>1030</v>
      </c>
      <c r="B992" s="485" t="s">
        <v>241</v>
      </c>
      <c r="C992" s="303" t="s">
        <v>642</v>
      </c>
      <c r="D992" s="304" t="s">
        <v>98</v>
      </c>
      <c r="E992" s="694" t="s">
        <v>331</v>
      </c>
      <c r="F992" s="303" t="s">
        <v>297</v>
      </c>
      <c r="G992" s="122" t="s">
        <v>189</v>
      </c>
      <c r="H992" s="303" t="s">
        <v>100</v>
      </c>
      <c r="I992" s="582" t="str">
        <f>VLOOKUP(H992,'9a-Typen vloeren'!$A$10:$B$40,2,FALSE)</f>
        <v>Sprayen/ conserveren</v>
      </c>
      <c r="J992" s="433">
        <v>16.399999618530273</v>
      </c>
      <c r="K992" s="433">
        <f t="shared" si="78"/>
        <v>16.399999618530273</v>
      </c>
      <c r="L992" s="433">
        <f t="shared" si="79"/>
        <v>0</v>
      </c>
      <c r="M992" s="433">
        <f t="shared" si="80"/>
        <v>0</v>
      </c>
      <c r="N992" s="672"/>
      <c r="O992" s="729">
        <f>IF(N992="",0,N992*K992/'9b-Vloeronderhoud'!$F$4)</f>
        <v>0</v>
      </c>
      <c r="P992" s="672"/>
      <c r="Q992" s="729" t="e">
        <f>IF(O992="",0,P992*L992/'9b-Vloeronderhoud'!$F$6)</f>
        <v>#DIV/0!</v>
      </c>
      <c r="R992" s="449">
        <v>1</v>
      </c>
      <c r="S992" s="672">
        <v>40</v>
      </c>
      <c r="T992" s="161" t="e">
        <f t="shared" si="81"/>
        <v>#DIV/0!</v>
      </c>
      <c r="U992" s="162">
        <f>IF(S992="nio",0,IF(S992&gt;0,VLOOKUP(G992,'3-Productie normen'!A:K,VLOOKUP(S992,'3-Productie normen'!L:N,3,FALSE),FALSE)))</f>
        <v>0</v>
      </c>
      <c r="V992" s="162">
        <f>VLOOKUP(G992,'3-Productie normen'!A:K,10,FALSE)</f>
        <v>1494.1700078582762</v>
      </c>
      <c r="W992" s="163">
        <f>VLOOKUP(G992,'3-Productie normen'!A:K,11,FALSE)</f>
        <v>0</v>
      </c>
      <c r="X992" s="163"/>
      <c r="Z992" s="129">
        <f t="shared" si="82"/>
        <v>655.99998474121094</v>
      </c>
    </row>
    <row r="993" spans="1:26" ht="14.1" customHeight="1">
      <c r="A993" s="144">
        <v>1031</v>
      </c>
      <c r="B993" s="485" t="s">
        <v>241</v>
      </c>
      <c r="C993" s="303" t="s">
        <v>642</v>
      </c>
      <c r="D993" s="304" t="s">
        <v>98</v>
      </c>
      <c r="E993" s="694" t="s">
        <v>406</v>
      </c>
      <c r="F993" s="303" t="s">
        <v>495</v>
      </c>
      <c r="G993" s="546" t="s">
        <v>279</v>
      </c>
      <c r="H993" s="303" t="s">
        <v>375</v>
      </c>
      <c r="I993" s="582" t="str">
        <f>VLOOKUP(H993,'9a-Typen vloeren'!$A$10:$B$40,2,FALSE)</f>
        <v>n.v.t.</v>
      </c>
      <c r="J993" s="433">
        <v>35.200000762939453</v>
      </c>
      <c r="K993" s="433">
        <f t="shared" si="78"/>
        <v>0</v>
      </c>
      <c r="L993" s="433">
        <f t="shared" si="79"/>
        <v>0</v>
      </c>
      <c r="M993" s="433">
        <f t="shared" si="80"/>
        <v>0</v>
      </c>
      <c r="N993" s="672"/>
      <c r="O993" s="729">
        <f>IF(N993="",0,N993*K993/'9b-Vloeronderhoud'!$F$4)</f>
        <v>0</v>
      </c>
      <c r="P993" s="672"/>
      <c r="Q993" s="729" t="e">
        <f>IF(O993="",0,P993*L993/'9b-Vloeronderhoud'!$F$6)</f>
        <v>#DIV/0!</v>
      </c>
      <c r="R993" s="449">
        <v>1</v>
      </c>
      <c r="S993" s="672">
        <v>190</v>
      </c>
      <c r="T993" s="161" t="e">
        <f t="shared" si="81"/>
        <v>#DIV/0!</v>
      </c>
      <c r="U993" s="162">
        <f>IF(S993="nio",0,IF(S993&gt;0,VLOOKUP(G993,'3-Productie normen'!A:K,VLOOKUP(S993,'3-Productie normen'!L:N,3,FALSE),FALSE)))</f>
        <v>0</v>
      </c>
      <c r="V993" s="162">
        <f>VLOOKUP(G993,'3-Productie normen'!A:K,10,FALSE)</f>
        <v>648.99999618530273</v>
      </c>
      <c r="W993" s="163">
        <f>VLOOKUP(G993,'3-Productie normen'!A:K,11,FALSE)</f>
        <v>0</v>
      </c>
      <c r="X993" s="163"/>
      <c r="Z993" s="129">
        <f t="shared" si="82"/>
        <v>6688.0001449584961</v>
      </c>
    </row>
    <row r="994" spans="1:26" ht="14.1" customHeight="1">
      <c r="A994" s="144">
        <v>1032</v>
      </c>
      <c r="B994" s="485" t="s">
        <v>241</v>
      </c>
      <c r="C994" s="303" t="s">
        <v>642</v>
      </c>
      <c r="D994" s="304" t="s">
        <v>98</v>
      </c>
      <c r="E994" s="694" t="s">
        <v>407</v>
      </c>
      <c r="F994" s="303" t="s">
        <v>495</v>
      </c>
      <c r="G994" s="460" t="s">
        <v>279</v>
      </c>
      <c r="H994" s="303" t="s">
        <v>375</v>
      </c>
      <c r="I994" s="582" t="str">
        <f>VLOOKUP(H994,'9a-Typen vloeren'!$A$10:$B$40,2,FALSE)</f>
        <v>n.v.t.</v>
      </c>
      <c r="J994" s="433">
        <v>36.599998474121094</v>
      </c>
      <c r="K994" s="433">
        <f t="shared" si="78"/>
        <v>0</v>
      </c>
      <c r="L994" s="433">
        <f t="shared" si="79"/>
        <v>0</v>
      </c>
      <c r="M994" s="433">
        <f t="shared" si="80"/>
        <v>0</v>
      </c>
      <c r="N994" s="672"/>
      <c r="O994" s="729">
        <f>IF(N994="",0,N994*K994/'9b-Vloeronderhoud'!$F$4)</f>
        <v>0</v>
      </c>
      <c r="P994" s="672"/>
      <c r="Q994" s="729" t="e">
        <f>IF(O994="",0,P994*L994/'9b-Vloeronderhoud'!$F$6)</f>
        <v>#DIV/0!</v>
      </c>
      <c r="R994" s="449">
        <v>1</v>
      </c>
      <c r="S994" s="672">
        <v>190</v>
      </c>
      <c r="T994" s="161" t="e">
        <f t="shared" si="81"/>
        <v>#DIV/0!</v>
      </c>
      <c r="U994" s="162">
        <f>IF(S994="nio",0,IF(S994&gt;0,VLOOKUP(G994,'3-Productie normen'!A:K,VLOOKUP(S994,'3-Productie normen'!L:N,3,FALSE),FALSE)))</f>
        <v>0</v>
      </c>
      <c r="V994" s="162">
        <f>VLOOKUP(G994,'3-Productie normen'!A:K,10,FALSE)</f>
        <v>648.99999618530273</v>
      </c>
      <c r="W994" s="163">
        <f>VLOOKUP(G994,'3-Productie normen'!A:K,11,FALSE)</f>
        <v>0</v>
      </c>
      <c r="X994" s="163"/>
      <c r="Z994" s="129">
        <f t="shared" si="82"/>
        <v>6953.9997100830078</v>
      </c>
    </row>
    <row r="995" spans="1:26" ht="14.1" customHeight="1">
      <c r="A995" s="144">
        <v>1033</v>
      </c>
      <c r="B995" s="485" t="s">
        <v>241</v>
      </c>
      <c r="C995" s="303" t="s">
        <v>642</v>
      </c>
      <c r="D995" s="304" t="s">
        <v>98</v>
      </c>
      <c r="E995" s="694" t="s">
        <v>408</v>
      </c>
      <c r="F995" s="303" t="s">
        <v>281</v>
      </c>
      <c r="G995" s="460" t="s">
        <v>881</v>
      </c>
      <c r="H995" s="303" t="s">
        <v>101</v>
      </c>
      <c r="I995" s="582" t="str">
        <f>VLOOKUP(H995,'9a-Typen vloeren'!$A$10:$B$40,2,FALSE)</f>
        <v>Schrobben</v>
      </c>
      <c r="J995" s="433">
        <v>2.4000000953674316</v>
      </c>
      <c r="K995" s="433">
        <f t="shared" si="78"/>
        <v>0</v>
      </c>
      <c r="L995" s="433">
        <f t="shared" si="79"/>
        <v>0</v>
      </c>
      <c r="M995" s="433">
        <f t="shared" si="80"/>
        <v>0</v>
      </c>
      <c r="N995" s="672"/>
      <c r="O995" s="729">
        <f>IF(N995="",0,N995*K995/'9b-Vloeronderhoud'!$F$4)</f>
        <v>0</v>
      </c>
      <c r="P995" s="672"/>
      <c r="Q995" s="729" t="e">
        <f>IF(O995="",0,P995*L995/'9b-Vloeronderhoud'!$F$6)</f>
        <v>#DIV/0!</v>
      </c>
      <c r="R995" s="449">
        <v>1</v>
      </c>
      <c r="S995" s="672" t="s">
        <v>179</v>
      </c>
      <c r="T995" s="161">
        <f t="shared" si="81"/>
        <v>0</v>
      </c>
      <c r="U995" s="162">
        <f>IF(S995="nio",0,IF(S995&gt;0,VLOOKUP(G995,'3-Productie normen'!A:K,VLOOKUP(S995,'3-Productie normen'!L:N,3,FALSE),FALSE)))</f>
        <v>0</v>
      </c>
      <c r="V995" s="162">
        <f>VLOOKUP(G995,'3-Productie normen'!A:K,10,FALSE)</f>
        <v>5262.809993648526</v>
      </c>
      <c r="W995" s="163">
        <f>VLOOKUP(G995,'3-Productie normen'!A:K,11,FALSE)</f>
        <v>0</v>
      </c>
      <c r="X995" s="163"/>
      <c r="Z995" s="129">
        <f t="shared" si="82"/>
        <v>0</v>
      </c>
    </row>
    <row r="996" spans="1:26" ht="14.1" customHeight="1">
      <c r="A996" s="144">
        <v>1034</v>
      </c>
      <c r="B996" s="485" t="s">
        <v>241</v>
      </c>
      <c r="C996" s="303" t="s">
        <v>642</v>
      </c>
      <c r="D996" s="304" t="s">
        <v>98</v>
      </c>
      <c r="E996" s="694" t="s">
        <v>414</v>
      </c>
      <c r="F996" s="303" t="s">
        <v>302</v>
      </c>
      <c r="G996" s="303" t="s">
        <v>18</v>
      </c>
      <c r="H996" s="534" t="s">
        <v>954</v>
      </c>
      <c r="I996" s="582" t="str">
        <f>VLOOKUP(H996,'9a-Typen vloeren'!$A$10:$B$40,2,FALSE)</f>
        <v>zie kwaliteitsontwerp</v>
      </c>
      <c r="J996" s="433">
        <v>2.4000000953674316</v>
      </c>
      <c r="K996" s="433">
        <f t="shared" si="78"/>
        <v>0</v>
      </c>
      <c r="L996" s="433">
        <f t="shared" si="79"/>
        <v>0</v>
      </c>
      <c r="M996" s="433">
        <f t="shared" si="80"/>
        <v>0</v>
      </c>
      <c r="N996" s="672"/>
      <c r="O996" s="729">
        <f>IF(N996="",0,N996*K996/'9b-Vloeronderhoud'!$F$4)</f>
        <v>0</v>
      </c>
      <c r="P996" s="672"/>
      <c r="Q996" s="729" t="e">
        <f>IF(O996="",0,P996*L996/'9b-Vloeronderhoud'!$F$6)</f>
        <v>#DIV/0!</v>
      </c>
      <c r="R996" s="449">
        <v>1</v>
      </c>
      <c r="S996" s="672">
        <v>190</v>
      </c>
      <c r="T996" s="161" t="e">
        <f t="shared" si="81"/>
        <v>#DIV/0!</v>
      </c>
      <c r="U996" s="162">
        <f>IF(S996="nio",0,IF(S996&gt;0,VLOOKUP(G996,'3-Productie normen'!A:K,VLOOKUP(S996,'3-Productie normen'!L:N,3,FALSE),FALSE)))</f>
        <v>0</v>
      </c>
      <c r="V996" s="162">
        <f>VLOOKUP(G996,'3-Productie normen'!A:K,10,FALSE)</f>
        <v>1859.5880019121171</v>
      </c>
      <c r="W996" s="163">
        <f>VLOOKUP(G996,'3-Productie normen'!A:K,11,FALSE)</f>
        <v>0</v>
      </c>
      <c r="X996" s="163"/>
      <c r="Z996" s="129">
        <f t="shared" si="82"/>
        <v>456.00001811981201</v>
      </c>
    </row>
    <row r="997" spans="1:26" ht="14.1" customHeight="1">
      <c r="A997" s="144">
        <v>1035</v>
      </c>
      <c r="B997" s="485" t="s">
        <v>241</v>
      </c>
      <c r="C997" s="303" t="s">
        <v>642</v>
      </c>
      <c r="D997" s="304" t="s">
        <v>98</v>
      </c>
      <c r="E997" s="694" t="s">
        <v>415</v>
      </c>
      <c r="F997" s="303" t="s">
        <v>611</v>
      </c>
      <c r="G997" s="460" t="s">
        <v>286</v>
      </c>
      <c r="H997" s="303" t="s">
        <v>100</v>
      </c>
      <c r="I997" s="582" t="str">
        <f>VLOOKUP(H997,'9a-Typen vloeren'!$A$10:$B$40,2,FALSE)</f>
        <v>Sprayen/ conserveren</v>
      </c>
      <c r="J997" s="433">
        <v>8.6499996185302734</v>
      </c>
      <c r="K997" s="433">
        <f t="shared" si="78"/>
        <v>8.6499996185302734</v>
      </c>
      <c r="L997" s="433">
        <f t="shared" si="79"/>
        <v>0</v>
      </c>
      <c r="M997" s="433">
        <f t="shared" si="80"/>
        <v>0</v>
      </c>
      <c r="N997" s="672"/>
      <c r="O997" s="729">
        <f>IF(N997="",0,N997*K997/'9b-Vloeronderhoud'!$F$4)</f>
        <v>0</v>
      </c>
      <c r="P997" s="672"/>
      <c r="Q997" s="729" t="e">
        <f>IF(O997="",0,P997*L997/'9b-Vloeronderhoud'!$F$6)</f>
        <v>#DIV/0!</v>
      </c>
      <c r="R997" s="449">
        <v>1</v>
      </c>
      <c r="S997" s="672">
        <v>80</v>
      </c>
      <c r="T997" s="161" t="e">
        <f t="shared" si="81"/>
        <v>#DIV/0!</v>
      </c>
      <c r="U997" s="162">
        <f>IF(S997="nio",0,IF(S997&gt;0,VLOOKUP(G997,'3-Productie normen'!A:K,VLOOKUP(S997,'3-Productie normen'!L:N,3,FALSE),FALSE)))</f>
        <v>0</v>
      </c>
      <c r="V997" s="162">
        <f>VLOOKUP(G997,'3-Productie normen'!A:K,10,FALSE)</f>
        <v>6152.9500017547598</v>
      </c>
      <c r="W997" s="163">
        <f>VLOOKUP(G997,'3-Productie normen'!A:K,11,FALSE)</f>
        <v>0</v>
      </c>
      <c r="X997" s="163"/>
      <c r="Z997" s="129">
        <f t="shared" si="82"/>
        <v>691.99996948242188</v>
      </c>
    </row>
    <row r="998" spans="1:26" ht="14.1" customHeight="1">
      <c r="A998" s="144">
        <v>1036</v>
      </c>
      <c r="B998" s="485" t="s">
        <v>241</v>
      </c>
      <c r="C998" s="303" t="s">
        <v>642</v>
      </c>
      <c r="D998" s="304" t="s">
        <v>98</v>
      </c>
      <c r="E998" s="694" t="s">
        <v>416</v>
      </c>
      <c r="F998" s="303" t="s">
        <v>288</v>
      </c>
      <c r="G998" s="303" t="s">
        <v>862</v>
      </c>
      <c r="H998" s="303" t="s">
        <v>100</v>
      </c>
      <c r="I998" s="582" t="str">
        <f>VLOOKUP(H998,'9a-Typen vloeren'!$A$10:$B$40,2,FALSE)</f>
        <v>Sprayen/ conserveren</v>
      </c>
      <c r="J998" s="433">
        <v>54.5</v>
      </c>
      <c r="K998" s="433">
        <f t="shared" si="78"/>
        <v>54.5</v>
      </c>
      <c r="L998" s="433">
        <f t="shared" si="79"/>
        <v>0</v>
      </c>
      <c r="M998" s="433">
        <f t="shared" si="80"/>
        <v>0</v>
      </c>
      <c r="N998" s="672">
        <v>2</v>
      </c>
      <c r="O998" s="729" t="e">
        <f>IF(N998="",0,N998*K998/'9b-Vloeronderhoud'!$F$4)</f>
        <v>#DIV/0!</v>
      </c>
      <c r="P998" s="672"/>
      <c r="Q998" s="729" t="e">
        <f>IF(O998="",0,P998*L998/'9b-Vloeronderhoud'!$F$6)</f>
        <v>#DIV/0!</v>
      </c>
      <c r="R998" s="449">
        <v>1</v>
      </c>
      <c r="S998" s="672">
        <v>120</v>
      </c>
      <c r="T998" s="161" t="e">
        <f t="shared" si="81"/>
        <v>#DIV/0!</v>
      </c>
      <c r="U998" s="162">
        <f>IF(S998="nio",0,IF(S998&gt;0,VLOOKUP(G998,'3-Productie normen'!A:K,VLOOKUP(S998,'3-Productie normen'!L:N,3,FALSE),FALSE)))</f>
        <v>0</v>
      </c>
      <c r="V998" s="162">
        <f>VLOOKUP(G998,'3-Productie normen'!A:K,10,FALSE)</f>
        <v>4374.9900215911857</v>
      </c>
      <c r="W998" s="163">
        <f>VLOOKUP(G998,'3-Productie normen'!A:K,11,FALSE)</f>
        <v>0</v>
      </c>
      <c r="X998" s="163"/>
      <c r="Z998" s="129">
        <f t="shared" si="82"/>
        <v>6540</v>
      </c>
    </row>
    <row r="999" spans="1:26" ht="14.1" customHeight="1">
      <c r="A999" s="144">
        <v>1037</v>
      </c>
      <c r="B999" s="485" t="s">
        <v>241</v>
      </c>
      <c r="C999" s="303" t="s">
        <v>642</v>
      </c>
      <c r="D999" s="304" t="s">
        <v>98</v>
      </c>
      <c r="E999" s="694" t="s">
        <v>417</v>
      </c>
      <c r="F999" s="126" t="s">
        <v>285</v>
      </c>
      <c r="G999" s="303" t="s">
        <v>285</v>
      </c>
      <c r="H999" s="303" t="s">
        <v>100</v>
      </c>
      <c r="I999" s="582" t="str">
        <f>VLOOKUP(H999,'9a-Typen vloeren'!$A$10:$B$40,2,FALSE)</f>
        <v>Sprayen/ conserveren</v>
      </c>
      <c r="J999" s="433">
        <v>55</v>
      </c>
      <c r="K999" s="433">
        <f t="shared" si="78"/>
        <v>55</v>
      </c>
      <c r="L999" s="433">
        <f t="shared" si="79"/>
        <v>0</v>
      </c>
      <c r="M999" s="433">
        <f t="shared" si="80"/>
        <v>0</v>
      </c>
      <c r="N999" s="672"/>
      <c r="O999" s="729">
        <f>IF(N999="",0,N999*K999/'9b-Vloeronderhoud'!$F$4)</f>
        <v>0</v>
      </c>
      <c r="P999" s="672"/>
      <c r="Q999" s="729" t="e">
        <f>IF(O999="",0,P999*L999/'9b-Vloeronderhoud'!$F$6)</f>
        <v>#DIV/0!</v>
      </c>
      <c r="R999" s="449">
        <v>1</v>
      </c>
      <c r="S999" s="672">
        <v>190</v>
      </c>
      <c r="T999" s="161" t="e">
        <f t="shared" si="81"/>
        <v>#DIV/0!</v>
      </c>
      <c r="U999" s="162">
        <f>IF(S999="nio",0,IF(S999&gt;0,VLOOKUP(G999,'3-Productie normen'!A:K,VLOOKUP(S999,'3-Productie normen'!L:N,3,FALSE),FALSE)))</f>
        <v>0</v>
      </c>
      <c r="V999" s="162">
        <f>VLOOKUP(G999,'3-Productie normen'!A:K,10,FALSE)</f>
        <v>3305.8200070953367</v>
      </c>
      <c r="W999" s="163">
        <f>VLOOKUP(G999,'3-Productie normen'!A:K,11,FALSE)</f>
        <v>0</v>
      </c>
      <c r="X999" s="163"/>
      <c r="Z999" s="129">
        <f t="shared" si="82"/>
        <v>10450</v>
      </c>
    </row>
    <row r="1000" spans="1:26" ht="14.1" customHeight="1">
      <c r="A1000" s="144">
        <v>1038</v>
      </c>
      <c r="B1000" s="485" t="s">
        <v>241</v>
      </c>
      <c r="C1000" s="303" t="s">
        <v>642</v>
      </c>
      <c r="D1000" s="304" t="s">
        <v>98</v>
      </c>
      <c r="E1000" s="694" t="s">
        <v>418</v>
      </c>
      <c r="F1000" s="303" t="s">
        <v>283</v>
      </c>
      <c r="G1000" s="4" t="s">
        <v>286</v>
      </c>
      <c r="H1000" s="303" t="s">
        <v>100</v>
      </c>
      <c r="I1000" s="582" t="str">
        <f>VLOOKUP(H1000,'9a-Typen vloeren'!$A$10:$B$40,2,FALSE)</f>
        <v>Sprayen/ conserveren</v>
      </c>
      <c r="J1000" s="433">
        <v>23.100000381469727</v>
      </c>
      <c r="K1000" s="433">
        <f t="shared" si="78"/>
        <v>23.100000381469727</v>
      </c>
      <c r="L1000" s="433">
        <f t="shared" si="79"/>
        <v>0</v>
      </c>
      <c r="M1000" s="433">
        <f t="shared" si="80"/>
        <v>0</v>
      </c>
      <c r="N1000" s="672">
        <v>2</v>
      </c>
      <c r="O1000" s="729" t="e">
        <f>IF(N1000="",0,N1000*K1000/'9b-Vloeronderhoud'!$F$4)</f>
        <v>#DIV/0!</v>
      </c>
      <c r="P1000" s="672"/>
      <c r="Q1000" s="729" t="e">
        <f>IF(O1000="",0,P1000*L1000/'9b-Vloeronderhoud'!$F$6)</f>
        <v>#DIV/0!</v>
      </c>
      <c r="R1000" s="449">
        <v>1</v>
      </c>
      <c r="S1000" s="672">
        <v>120</v>
      </c>
      <c r="T1000" s="161" t="e">
        <f t="shared" si="81"/>
        <v>#DIV/0!</v>
      </c>
      <c r="U1000" s="162">
        <f>IF(S1000="nio",0,IF(S1000&gt;0,VLOOKUP(G1000,'3-Productie normen'!A:K,VLOOKUP(S1000,'3-Productie normen'!L:N,3,FALSE),FALSE)))</f>
        <v>0</v>
      </c>
      <c r="V1000" s="162">
        <f>VLOOKUP(G1000,'3-Productie normen'!A:K,10,FALSE)</f>
        <v>6152.9500017547598</v>
      </c>
      <c r="W1000" s="163">
        <f>VLOOKUP(G1000,'3-Productie normen'!A:K,11,FALSE)</f>
        <v>0</v>
      </c>
      <c r="X1000" s="163"/>
      <c r="Z1000" s="129">
        <f t="shared" si="82"/>
        <v>2772.0000457763672</v>
      </c>
    </row>
    <row r="1001" spans="1:26" ht="14.1" customHeight="1">
      <c r="A1001" s="144">
        <v>1039</v>
      </c>
      <c r="B1001" s="485" t="s">
        <v>241</v>
      </c>
      <c r="C1001" s="303" t="s">
        <v>642</v>
      </c>
      <c r="D1001" s="304" t="s">
        <v>98</v>
      </c>
      <c r="E1001" s="694" t="s">
        <v>418</v>
      </c>
      <c r="F1001" s="303" t="s">
        <v>283</v>
      </c>
      <c r="G1001" s="533" t="s">
        <v>286</v>
      </c>
      <c r="H1001" s="303" t="s">
        <v>332</v>
      </c>
      <c r="I1001" s="582" t="str">
        <f>VLOOKUP(H1001,'9a-Typen vloeren'!$A$10:$B$40,2,FALSE)</f>
        <v>Sproei/extraheren</v>
      </c>
      <c r="J1001" s="433">
        <v>3.5</v>
      </c>
      <c r="K1001" s="433">
        <f t="shared" si="78"/>
        <v>0</v>
      </c>
      <c r="L1001" s="433">
        <f t="shared" si="79"/>
        <v>0</v>
      </c>
      <c r="M1001" s="433">
        <f t="shared" si="80"/>
        <v>3.5</v>
      </c>
      <c r="N1001" s="672"/>
      <c r="O1001" s="729">
        <f>IF(N1001="",0,N1001*K1001/'9b-Vloeronderhoud'!$F$4)</f>
        <v>0</v>
      </c>
      <c r="P1001" s="672"/>
      <c r="Q1001" s="729" t="e">
        <f>IF(O1001="",0,P1001*L1001/'9b-Vloeronderhoud'!$F$6)</f>
        <v>#DIV/0!</v>
      </c>
      <c r="R1001" s="449">
        <v>1</v>
      </c>
      <c r="S1001" s="672">
        <v>120</v>
      </c>
      <c r="T1001" s="161" t="e">
        <f t="shared" si="81"/>
        <v>#DIV/0!</v>
      </c>
      <c r="U1001" s="162">
        <f>IF(S1001="nio",0,IF(S1001&gt;0,VLOOKUP(G1001,'3-Productie normen'!A:K,VLOOKUP(S1001,'3-Productie normen'!L:N,3,FALSE),FALSE)))</f>
        <v>0</v>
      </c>
      <c r="V1001" s="162">
        <f>VLOOKUP(G1001,'3-Productie normen'!A:K,10,FALSE)</f>
        <v>6152.9500017547598</v>
      </c>
      <c r="W1001" s="163">
        <f>VLOOKUP(G1001,'3-Productie normen'!A:K,11,FALSE)</f>
        <v>0</v>
      </c>
      <c r="X1001" s="163"/>
      <c r="Z1001" s="129">
        <f t="shared" si="82"/>
        <v>420</v>
      </c>
    </row>
    <row r="1002" spans="1:26" ht="14.1" customHeight="1">
      <c r="A1002" s="144">
        <v>1040</v>
      </c>
      <c r="B1002" s="485" t="s">
        <v>241</v>
      </c>
      <c r="C1002" s="303" t="s">
        <v>642</v>
      </c>
      <c r="D1002" s="304" t="s">
        <v>98</v>
      </c>
      <c r="E1002" s="694" t="s">
        <v>521</v>
      </c>
      <c r="F1002" s="303" t="s">
        <v>347</v>
      </c>
      <c r="G1002" s="502" t="s">
        <v>347</v>
      </c>
      <c r="H1002" s="303" t="s">
        <v>335</v>
      </c>
      <c r="I1002" s="582" t="str">
        <f>VLOOKUP(H1002,'9a-Typen vloeren'!$A$10:$B$40,2,FALSE)</f>
        <v>Schrobben</v>
      </c>
      <c r="J1002" s="433">
        <v>79.199996948242188</v>
      </c>
      <c r="K1002" s="433">
        <f t="shared" si="78"/>
        <v>0</v>
      </c>
      <c r="L1002" s="433">
        <f t="shared" si="79"/>
        <v>79.199996948242188</v>
      </c>
      <c r="M1002" s="433">
        <f t="shared" si="80"/>
        <v>0</v>
      </c>
      <c r="N1002" s="672"/>
      <c r="O1002" s="729">
        <f>IF(N1002="",0,N1002*K1002/'9b-Vloeronderhoud'!$F$4)</f>
        <v>0</v>
      </c>
      <c r="P1002" s="672">
        <v>3</v>
      </c>
      <c r="Q1002" s="729" t="e">
        <f>IF(O1002="",0,P1002*L1002/'9b-Vloeronderhoud'!$F$6)</f>
        <v>#DIV/0!</v>
      </c>
      <c r="R1002" s="449">
        <v>1</v>
      </c>
      <c r="S1002" s="672">
        <v>44</v>
      </c>
      <c r="T1002" s="161" t="e">
        <f t="shared" si="81"/>
        <v>#DIV/0!</v>
      </c>
      <c r="U1002" s="162">
        <f>IF(S1002="nio",0,IF(S1002&gt;0,VLOOKUP(G1002,'3-Productie normen'!A:K,VLOOKUP(S1002,'3-Productie normen'!L:N,3,FALSE),FALSE)))</f>
        <v>0</v>
      </c>
      <c r="V1002" s="162">
        <f>VLOOKUP(G1002,'3-Productie normen'!A:K,10,FALSE)</f>
        <v>1134.6299961853026</v>
      </c>
      <c r="W1002" s="163">
        <f>VLOOKUP(G1002,'3-Productie normen'!A:K,11,FALSE)</f>
        <v>0</v>
      </c>
      <c r="X1002" s="163"/>
      <c r="Z1002" s="129">
        <f t="shared" si="82"/>
        <v>3484.7998657226563</v>
      </c>
    </row>
    <row r="1003" spans="1:26" ht="14.1" customHeight="1">
      <c r="A1003" s="144">
        <v>1041</v>
      </c>
      <c r="B1003" s="485" t="s">
        <v>241</v>
      </c>
      <c r="C1003" s="303" t="s">
        <v>642</v>
      </c>
      <c r="D1003" s="304" t="s">
        <v>98</v>
      </c>
      <c r="E1003" s="694" t="s">
        <v>522</v>
      </c>
      <c r="F1003" s="303" t="s">
        <v>350</v>
      </c>
      <c r="G1003" s="171" t="s">
        <v>299</v>
      </c>
      <c r="H1003" s="303" t="s">
        <v>100</v>
      </c>
      <c r="I1003" s="582" t="str">
        <f>VLOOKUP(H1003,'9a-Typen vloeren'!$A$10:$B$40,2,FALSE)</f>
        <v>Sprayen/ conserveren</v>
      </c>
      <c r="J1003" s="433">
        <v>59.400001525878906</v>
      </c>
      <c r="K1003" s="433">
        <f t="shared" si="78"/>
        <v>59.400001525878906</v>
      </c>
      <c r="L1003" s="433">
        <f t="shared" si="79"/>
        <v>0</v>
      </c>
      <c r="M1003" s="433">
        <f t="shared" si="80"/>
        <v>0</v>
      </c>
      <c r="N1003" s="672"/>
      <c r="O1003" s="729">
        <f>IF(N1003="",0,N1003*K1003/'9b-Vloeronderhoud'!$F$4)</f>
        <v>0</v>
      </c>
      <c r="P1003" s="672"/>
      <c r="Q1003" s="729" t="e">
        <f>IF(O1003="",0,P1003*L1003/'9b-Vloeronderhoud'!$F$6)</f>
        <v>#DIV/0!</v>
      </c>
      <c r="R1003" s="449">
        <v>1</v>
      </c>
      <c r="S1003" s="672">
        <v>40</v>
      </c>
      <c r="T1003" s="161" t="e">
        <f t="shared" si="81"/>
        <v>#DIV/0!</v>
      </c>
      <c r="U1003" s="162">
        <f>IF(S1003="nio",0,IF(S1003&gt;0,VLOOKUP(G1003,'3-Productie normen'!A:K,VLOOKUP(S1003,'3-Productie normen'!L:N,3,FALSE),FALSE)))</f>
        <v>0</v>
      </c>
      <c r="V1003" s="162">
        <f>VLOOKUP(G1003,'3-Productie normen'!A:K,10,FALSE)</f>
        <v>1107.9100014114381</v>
      </c>
      <c r="W1003" s="163">
        <f>VLOOKUP(G1003,'3-Productie normen'!A:K,11,FALSE)</f>
        <v>0</v>
      </c>
      <c r="X1003" s="163"/>
      <c r="Z1003" s="129">
        <f t="shared" si="82"/>
        <v>2376.0000610351563</v>
      </c>
    </row>
    <row r="1004" spans="1:26" ht="14.1" customHeight="1">
      <c r="A1004" s="144">
        <v>1042</v>
      </c>
      <c r="B1004" s="485" t="s">
        <v>241</v>
      </c>
      <c r="C1004" s="303" t="s">
        <v>642</v>
      </c>
      <c r="D1004" s="304" t="s">
        <v>98</v>
      </c>
      <c r="E1004" s="694" t="s">
        <v>523</v>
      </c>
      <c r="F1004" s="303" t="s">
        <v>297</v>
      </c>
      <c r="G1004" s="546" t="s">
        <v>189</v>
      </c>
      <c r="H1004" s="303" t="s">
        <v>100</v>
      </c>
      <c r="I1004" s="582" t="str">
        <f>VLOOKUP(H1004,'9a-Typen vloeren'!$A$10:$B$40,2,FALSE)</f>
        <v>Sprayen/ conserveren</v>
      </c>
      <c r="J1004" s="433">
        <v>5</v>
      </c>
      <c r="K1004" s="433">
        <f t="shared" si="78"/>
        <v>5</v>
      </c>
      <c r="L1004" s="433">
        <f t="shared" si="79"/>
        <v>0</v>
      </c>
      <c r="M1004" s="433">
        <f t="shared" si="80"/>
        <v>0</v>
      </c>
      <c r="N1004" s="672"/>
      <c r="O1004" s="729">
        <f>IF(N1004="",0,N1004*K1004/'9b-Vloeronderhoud'!$F$4)</f>
        <v>0</v>
      </c>
      <c r="P1004" s="672"/>
      <c r="Q1004" s="729" t="e">
        <f>IF(O1004="",0,P1004*L1004/'9b-Vloeronderhoud'!$F$6)</f>
        <v>#DIV/0!</v>
      </c>
      <c r="R1004" s="449">
        <v>1</v>
      </c>
      <c r="S1004" s="672">
        <v>40</v>
      </c>
      <c r="T1004" s="161" t="e">
        <f t="shared" si="81"/>
        <v>#DIV/0!</v>
      </c>
      <c r="U1004" s="162">
        <f>IF(S1004="nio",0,IF(S1004&gt;0,VLOOKUP(G1004,'3-Productie normen'!A:K,VLOOKUP(S1004,'3-Productie normen'!L:N,3,FALSE),FALSE)))</f>
        <v>0</v>
      </c>
      <c r="V1004" s="162">
        <f>VLOOKUP(G1004,'3-Productie normen'!A:K,10,FALSE)</f>
        <v>1494.1700078582762</v>
      </c>
      <c r="W1004" s="163">
        <f>VLOOKUP(G1004,'3-Productie normen'!A:K,11,FALSE)</f>
        <v>0</v>
      </c>
      <c r="X1004" s="163"/>
      <c r="Z1004" s="129">
        <f t="shared" si="82"/>
        <v>200</v>
      </c>
    </row>
    <row r="1005" spans="1:26" ht="14.1" customHeight="1">
      <c r="A1005" s="144">
        <v>1043</v>
      </c>
      <c r="B1005" s="485" t="s">
        <v>241</v>
      </c>
      <c r="C1005" s="303" t="s">
        <v>642</v>
      </c>
      <c r="D1005" s="304" t="s">
        <v>98</v>
      </c>
      <c r="E1005" s="694" t="s">
        <v>524</v>
      </c>
      <c r="F1005" s="303" t="s">
        <v>304</v>
      </c>
      <c r="G1005" s="303" t="s">
        <v>18</v>
      </c>
      <c r="H1005" s="534" t="s">
        <v>954</v>
      </c>
      <c r="I1005" s="582" t="str">
        <f>VLOOKUP(H1005,'9a-Typen vloeren'!$A$10:$B$40,2,FALSE)</f>
        <v>zie kwaliteitsontwerp</v>
      </c>
      <c r="J1005" s="433">
        <v>6</v>
      </c>
      <c r="K1005" s="433">
        <f t="shared" si="78"/>
        <v>0</v>
      </c>
      <c r="L1005" s="433">
        <f t="shared" si="79"/>
        <v>0</v>
      </c>
      <c r="M1005" s="433">
        <f t="shared" si="80"/>
        <v>0</v>
      </c>
      <c r="N1005" s="672"/>
      <c r="O1005" s="729">
        <f>IF(N1005="",0,N1005*K1005/'9b-Vloeronderhoud'!$F$4)</f>
        <v>0</v>
      </c>
      <c r="P1005" s="672"/>
      <c r="Q1005" s="729" t="e">
        <f>IF(O1005="",0,P1005*L1005/'9b-Vloeronderhoud'!$F$6)</f>
        <v>#DIV/0!</v>
      </c>
      <c r="R1005" s="449">
        <v>1</v>
      </c>
      <c r="S1005" s="672">
        <v>190</v>
      </c>
      <c r="T1005" s="161" t="e">
        <f t="shared" si="81"/>
        <v>#DIV/0!</v>
      </c>
      <c r="U1005" s="162">
        <f>IF(S1005="nio",0,IF(S1005&gt;0,VLOOKUP(G1005,'3-Productie normen'!A:K,VLOOKUP(S1005,'3-Productie normen'!L:N,3,FALSE),FALSE)))</f>
        <v>0</v>
      </c>
      <c r="V1005" s="162">
        <f>VLOOKUP(G1005,'3-Productie normen'!A:K,10,FALSE)</f>
        <v>1859.5880019121171</v>
      </c>
      <c r="W1005" s="163">
        <f>VLOOKUP(G1005,'3-Productie normen'!A:K,11,FALSE)</f>
        <v>0</v>
      </c>
      <c r="X1005" s="163"/>
      <c r="Z1005" s="129">
        <f t="shared" si="82"/>
        <v>1140</v>
      </c>
    </row>
    <row r="1006" spans="1:26" ht="14.1" customHeight="1">
      <c r="A1006" s="144">
        <v>1044</v>
      </c>
      <c r="B1006" s="485" t="s">
        <v>241</v>
      </c>
      <c r="C1006" s="303" t="s">
        <v>642</v>
      </c>
      <c r="D1006" s="304" t="s">
        <v>98</v>
      </c>
      <c r="E1006" s="694" t="s">
        <v>538</v>
      </c>
      <c r="F1006" s="303" t="s">
        <v>302</v>
      </c>
      <c r="G1006" s="303" t="s">
        <v>18</v>
      </c>
      <c r="H1006" s="534" t="s">
        <v>954</v>
      </c>
      <c r="I1006" s="582" t="str">
        <f>VLOOKUP(H1006,'9a-Typen vloeren'!$A$10:$B$40,2,FALSE)</f>
        <v>zie kwaliteitsontwerp</v>
      </c>
      <c r="J1006" s="433">
        <v>6</v>
      </c>
      <c r="K1006" s="433">
        <f t="shared" si="78"/>
        <v>0</v>
      </c>
      <c r="L1006" s="433">
        <f t="shared" si="79"/>
        <v>0</v>
      </c>
      <c r="M1006" s="433">
        <f t="shared" si="80"/>
        <v>0</v>
      </c>
      <c r="N1006" s="672"/>
      <c r="O1006" s="729">
        <f>IF(N1006="",0,N1006*K1006/'9b-Vloeronderhoud'!$F$4)</f>
        <v>0</v>
      </c>
      <c r="P1006" s="672"/>
      <c r="Q1006" s="729" t="e">
        <f>IF(O1006="",0,P1006*L1006/'9b-Vloeronderhoud'!$F$6)</f>
        <v>#DIV/0!</v>
      </c>
      <c r="R1006" s="449">
        <v>1</v>
      </c>
      <c r="S1006" s="672">
        <v>190</v>
      </c>
      <c r="T1006" s="161" t="e">
        <f t="shared" si="81"/>
        <v>#DIV/0!</v>
      </c>
      <c r="U1006" s="162">
        <f>IF(S1006="nio",0,IF(S1006&gt;0,VLOOKUP(G1006,'3-Productie normen'!A:K,VLOOKUP(S1006,'3-Productie normen'!L:N,3,FALSE),FALSE)))</f>
        <v>0</v>
      </c>
      <c r="V1006" s="162">
        <f>VLOOKUP(G1006,'3-Productie normen'!A:K,10,FALSE)</f>
        <v>1859.5880019121171</v>
      </c>
      <c r="W1006" s="163">
        <f>VLOOKUP(G1006,'3-Productie normen'!A:K,11,FALSE)</f>
        <v>0</v>
      </c>
      <c r="X1006" s="163"/>
      <c r="Z1006" s="129">
        <f t="shared" si="82"/>
        <v>1140</v>
      </c>
    </row>
    <row r="1007" spans="1:26" ht="14.1" customHeight="1">
      <c r="A1007" s="144">
        <v>1045</v>
      </c>
      <c r="B1007" s="485" t="s">
        <v>241</v>
      </c>
      <c r="C1007" s="303" t="s">
        <v>642</v>
      </c>
      <c r="D1007" s="304" t="s">
        <v>98</v>
      </c>
      <c r="E1007" s="694" t="s">
        <v>525</v>
      </c>
      <c r="F1007" s="303" t="s">
        <v>285</v>
      </c>
      <c r="G1007" s="460" t="s">
        <v>285</v>
      </c>
      <c r="H1007" s="303" t="s">
        <v>100</v>
      </c>
      <c r="I1007" s="582" t="str">
        <f>VLOOKUP(H1007,'9a-Typen vloeren'!$A$10:$B$40,2,FALSE)</f>
        <v>Sprayen/ conserveren</v>
      </c>
      <c r="J1007" s="433">
        <v>55</v>
      </c>
      <c r="K1007" s="433">
        <f t="shared" si="78"/>
        <v>55</v>
      </c>
      <c r="L1007" s="433">
        <f t="shared" si="79"/>
        <v>0</v>
      </c>
      <c r="M1007" s="433">
        <f t="shared" si="80"/>
        <v>0</v>
      </c>
      <c r="N1007" s="672"/>
      <c r="O1007" s="729">
        <f>IF(N1007="",0,N1007*K1007/'9b-Vloeronderhoud'!$F$4)</f>
        <v>0</v>
      </c>
      <c r="P1007" s="672"/>
      <c r="Q1007" s="729" t="e">
        <f>IF(O1007="",0,P1007*L1007/'9b-Vloeronderhoud'!$F$6)</f>
        <v>#DIV/0!</v>
      </c>
      <c r="R1007" s="449">
        <v>1</v>
      </c>
      <c r="S1007" s="672">
        <v>190</v>
      </c>
      <c r="T1007" s="161" t="e">
        <f t="shared" si="81"/>
        <v>#DIV/0!</v>
      </c>
      <c r="U1007" s="162">
        <f>IF(S1007="nio",0,IF(S1007&gt;0,VLOOKUP(G1007,'3-Productie normen'!A:K,VLOOKUP(S1007,'3-Productie normen'!L:N,3,FALSE),FALSE)))</f>
        <v>0</v>
      </c>
      <c r="V1007" s="162">
        <f>VLOOKUP(G1007,'3-Productie normen'!A:K,10,FALSE)</f>
        <v>3305.8200070953367</v>
      </c>
      <c r="W1007" s="163">
        <f>VLOOKUP(G1007,'3-Productie normen'!A:K,11,FALSE)</f>
        <v>0</v>
      </c>
      <c r="X1007" s="163"/>
      <c r="Z1007" s="129">
        <f t="shared" si="82"/>
        <v>10450</v>
      </c>
    </row>
    <row r="1008" spans="1:26" ht="14.1" customHeight="1">
      <c r="A1008" s="144">
        <v>1046</v>
      </c>
      <c r="B1008" s="485" t="s">
        <v>241</v>
      </c>
      <c r="C1008" s="303" t="s">
        <v>642</v>
      </c>
      <c r="D1008" s="304" t="s">
        <v>98</v>
      </c>
      <c r="E1008" s="694" t="s">
        <v>539</v>
      </c>
      <c r="F1008" s="303" t="s">
        <v>302</v>
      </c>
      <c r="G1008" s="303" t="s">
        <v>18</v>
      </c>
      <c r="H1008" s="534" t="s">
        <v>954</v>
      </c>
      <c r="I1008" s="582" t="str">
        <f>VLOOKUP(H1008,'9a-Typen vloeren'!$A$10:$B$40,2,FALSE)</f>
        <v>zie kwaliteitsontwerp</v>
      </c>
      <c r="J1008" s="433">
        <v>6.8000001907348633</v>
      </c>
      <c r="K1008" s="433">
        <f t="shared" si="78"/>
        <v>0</v>
      </c>
      <c r="L1008" s="433">
        <f t="shared" si="79"/>
        <v>0</v>
      </c>
      <c r="M1008" s="433">
        <f t="shared" si="80"/>
        <v>0</v>
      </c>
      <c r="N1008" s="672"/>
      <c r="O1008" s="729">
        <f>IF(N1008="",0,N1008*K1008/'9b-Vloeronderhoud'!$F$4)</f>
        <v>0</v>
      </c>
      <c r="P1008" s="672"/>
      <c r="Q1008" s="729" t="e">
        <f>IF(O1008="",0,P1008*L1008/'9b-Vloeronderhoud'!$F$6)</f>
        <v>#DIV/0!</v>
      </c>
      <c r="R1008" s="449">
        <v>1</v>
      </c>
      <c r="S1008" s="672">
        <v>190</v>
      </c>
      <c r="T1008" s="161" t="e">
        <f t="shared" si="81"/>
        <v>#DIV/0!</v>
      </c>
      <c r="U1008" s="162">
        <f>IF(S1008="nio",0,IF(S1008&gt;0,VLOOKUP(G1008,'3-Productie normen'!A:K,VLOOKUP(S1008,'3-Productie normen'!L:N,3,FALSE),FALSE)))</f>
        <v>0</v>
      </c>
      <c r="V1008" s="162">
        <f>VLOOKUP(G1008,'3-Productie normen'!A:K,10,FALSE)</f>
        <v>1859.5880019121171</v>
      </c>
      <c r="W1008" s="163">
        <f>VLOOKUP(G1008,'3-Productie normen'!A:K,11,FALSE)</f>
        <v>0</v>
      </c>
      <c r="X1008" s="163"/>
      <c r="Z1008" s="129">
        <f t="shared" si="82"/>
        <v>1292.000036239624</v>
      </c>
    </row>
    <row r="1009" spans="1:26" ht="14.1" customHeight="1">
      <c r="A1009" s="144">
        <v>1047</v>
      </c>
      <c r="B1009" s="485" t="s">
        <v>241</v>
      </c>
      <c r="C1009" s="303" t="s">
        <v>642</v>
      </c>
      <c r="D1009" s="304" t="s">
        <v>98</v>
      </c>
      <c r="E1009" s="694" t="s">
        <v>527</v>
      </c>
      <c r="F1009" s="303" t="s">
        <v>379</v>
      </c>
      <c r="G1009" s="460" t="s">
        <v>881</v>
      </c>
      <c r="H1009" s="303" t="s">
        <v>100</v>
      </c>
      <c r="I1009" s="582" t="str">
        <f>VLOOKUP(H1009,'9a-Typen vloeren'!$A$10:$B$40,2,FALSE)</f>
        <v>Sprayen/ conserveren</v>
      </c>
      <c r="J1009" s="433">
        <v>2.4000000953674316</v>
      </c>
      <c r="K1009" s="433">
        <f t="shared" si="78"/>
        <v>0</v>
      </c>
      <c r="L1009" s="433">
        <f t="shared" si="79"/>
        <v>0</v>
      </c>
      <c r="M1009" s="433">
        <f t="shared" si="80"/>
        <v>0</v>
      </c>
      <c r="N1009" s="672"/>
      <c r="O1009" s="729">
        <f>IF(N1009="",0,N1009*K1009/'9b-Vloeronderhoud'!$F$4)</f>
        <v>0</v>
      </c>
      <c r="P1009" s="672"/>
      <c r="Q1009" s="729" t="e">
        <f>IF(O1009="",0,P1009*L1009/'9b-Vloeronderhoud'!$F$6)</f>
        <v>#DIV/0!</v>
      </c>
      <c r="R1009" s="449">
        <v>1</v>
      </c>
      <c r="S1009" s="672" t="s">
        <v>179</v>
      </c>
      <c r="T1009" s="161">
        <f t="shared" si="81"/>
        <v>0</v>
      </c>
      <c r="U1009" s="162">
        <f>IF(S1009="nio",0,IF(S1009&gt;0,VLOOKUP(G1009,'3-Productie normen'!A:K,VLOOKUP(S1009,'3-Productie normen'!L:N,3,FALSE),FALSE)))</f>
        <v>0</v>
      </c>
      <c r="V1009" s="162">
        <f>VLOOKUP(G1009,'3-Productie normen'!A:K,10,FALSE)</f>
        <v>5262.809993648526</v>
      </c>
      <c r="W1009" s="163">
        <f>VLOOKUP(G1009,'3-Productie normen'!A:K,11,FALSE)</f>
        <v>0</v>
      </c>
      <c r="X1009" s="163"/>
      <c r="Z1009" s="129">
        <f t="shared" si="82"/>
        <v>0</v>
      </c>
    </row>
    <row r="1010" spans="1:26" ht="14.1" customHeight="1">
      <c r="A1010" s="144">
        <v>1048</v>
      </c>
      <c r="B1010" s="485" t="s">
        <v>241</v>
      </c>
      <c r="C1010" s="303" t="s">
        <v>642</v>
      </c>
      <c r="D1010" s="304" t="s">
        <v>98</v>
      </c>
      <c r="E1010" s="694" t="s">
        <v>528</v>
      </c>
      <c r="F1010" s="303" t="s">
        <v>346</v>
      </c>
      <c r="G1010" s="460" t="s">
        <v>881</v>
      </c>
      <c r="H1010" s="303" t="s">
        <v>375</v>
      </c>
      <c r="I1010" s="582" t="str">
        <f>VLOOKUP(H1010,'9a-Typen vloeren'!$A$10:$B$40,2,FALSE)</f>
        <v>n.v.t.</v>
      </c>
      <c r="J1010" s="433">
        <v>7.1999998092651367</v>
      </c>
      <c r="K1010" s="433">
        <f t="shared" si="78"/>
        <v>0</v>
      </c>
      <c r="L1010" s="433">
        <f t="shared" si="79"/>
        <v>0</v>
      </c>
      <c r="M1010" s="433">
        <f t="shared" si="80"/>
        <v>0</v>
      </c>
      <c r="N1010" s="672"/>
      <c r="O1010" s="729">
        <f>IF(N1010="",0,N1010*K1010/'9b-Vloeronderhoud'!$F$4)</f>
        <v>0</v>
      </c>
      <c r="P1010" s="672"/>
      <c r="Q1010" s="729" t="e">
        <f>IF(O1010="",0,P1010*L1010/'9b-Vloeronderhoud'!$F$6)</f>
        <v>#DIV/0!</v>
      </c>
      <c r="R1010" s="449">
        <v>1</v>
      </c>
      <c r="S1010" s="672" t="s">
        <v>179</v>
      </c>
      <c r="T1010" s="161">
        <f t="shared" si="81"/>
        <v>0</v>
      </c>
      <c r="U1010" s="162">
        <f>IF(S1010="nio",0,IF(S1010&gt;0,VLOOKUP(G1010,'3-Productie normen'!A:K,VLOOKUP(S1010,'3-Productie normen'!L:N,3,FALSE),FALSE)))</f>
        <v>0</v>
      </c>
      <c r="V1010" s="162">
        <f>VLOOKUP(G1010,'3-Productie normen'!A:K,10,FALSE)</f>
        <v>5262.809993648526</v>
      </c>
      <c r="W1010" s="163">
        <f>VLOOKUP(G1010,'3-Productie normen'!A:K,11,FALSE)</f>
        <v>0</v>
      </c>
      <c r="X1010" s="163"/>
      <c r="Z1010" s="129">
        <f t="shared" si="82"/>
        <v>0</v>
      </c>
    </row>
    <row r="1011" spans="1:26" ht="14.1" customHeight="1">
      <c r="A1011" s="144">
        <v>1049</v>
      </c>
      <c r="B1011" s="485" t="s">
        <v>241</v>
      </c>
      <c r="C1011" s="303" t="s">
        <v>642</v>
      </c>
      <c r="D1011" s="304" t="s">
        <v>98</v>
      </c>
      <c r="E1011" s="694" t="s">
        <v>509</v>
      </c>
      <c r="F1011" s="303" t="s">
        <v>316</v>
      </c>
      <c r="G1011" s="460" t="s">
        <v>881</v>
      </c>
      <c r="H1011" s="303" t="s">
        <v>375</v>
      </c>
      <c r="I1011" s="582" t="str">
        <f>VLOOKUP(H1011,'9a-Typen vloeren'!$A$10:$B$40,2,FALSE)</f>
        <v>n.v.t.</v>
      </c>
      <c r="J1011" s="433">
        <v>1</v>
      </c>
      <c r="K1011" s="433">
        <f t="shared" si="78"/>
        <v>0</v>
      </c>
      <c r="L1011" s="433">
        <f t="shared" si="79"/>
        <v>0</v>
      </c>
      <c r="M1011" s="433">
        <f t="shared" si="80"/>
        <v>0</v>
      </c>
      <c r="N1011" s="672"/>
      <c r="O1011" s="729">
        <f>IF(N1011="",0,N1011*K1011/'9b-Vloeronderhoud'!$F$4)</f>
        <v>0</v>
      </c>
      <c r="P1011" s="672"/>
      <c r="Q1011" s="729" t="e">
        <f>IF(O1011="",0,P1011*L1011/'9b-Vloeronderhoud'!$F$6)</f>
        <v>#DIV/0!</v>
      </c>
      <c r="R1011" s="449">
        <v>1</v>
      </c>
      <c r="S1011" s="672" t="s">
        <v>179</v>
      </c>
      <c r="T1011" s="161">
        <f t="shared" si="81"/>
        <v>0</v>
      </c>
      <c r="U1011" s="162">
        <f>IF(S1011="nio",0,IF(S1011&gt;0,VLOOKUP(G1011,'3-Productie normen'!A:K,VLOOKUP(S1011,'3-Productie normen'!L:N,3,FALSE),FALSE)))</f>
        <v>0</v>
      </c>
      <c r="V1011" s="162">
        <f>VLOOKUP(G1011,'3-Productie normen'!A:K,10,FALSE)</f>
        <v>5262.809993648526</v>
      </c>
      <c r="W1011" s="163">
        <f>VLOOKUP(G1011,'3-Productie normen'!A:K,11,FALSE)</f>
        <v>0</v>
      </c>
      <c r="X1011" s="163"/>
      <c r="Z1011" s="129">
        <f t="shared" si="82"/>
        <v>0</v>
      </c>
    </row>
    <row r="1012" spans="1:26" ht="14.1" customHeight="1">
      <c r="A1012" s="144">
        <v>1050</v>
      </c>
      <c r="B1012" s="485" t="s">
        <v>247</v>
      </c>
      <c r="C1012" s="303" t="s">
        <v>738</v>
      </c>
      <c r="D1012" s="304" t="s">
        <v>98</v>
      </c>
      <c r="E1012" s="694" t="s">
        <v>294</v>
      </c>
      <c r="F1012" s="303" t="s">
        <v>99</v>
      </c>
      <c r="G1012" s="303" t="s">
        <v>99</v>
      </c>
      <c r="H1012" s="303" t="s">
        <v>734</v>
      </c>
      <c r="I1012" s="582" t="str">
        <f>VLOOKUP(H1012,'9a-Typen vloeren'!$A$10:$B$40,2,FALSE)</f>
        <v>Schrobben</v>
      </c>
      <c r="J1012" s="433">
        <v>11</v>
      </c>
      <c r="K1012" s="433">
        <f t="shared" si="78"/>
        <v>0</v>
      </c>
      <c r="L1012" s="433">
        <f t="shared" si="79"/>
        <v>11</v>
      </c>
      <c r="M1012" s="433">
        <f t="shared" si="80"/>
        <v>0</v>
      </c>
      <c r="N1012" s="672"/>
      <c r="O1012" s="729">
        <f>IF(N1012="",0,N1012*K1012/'9b-Vloeronderhoud'!$F$4)</f>
        <v>0</v>
      </c>
      <c r="P1012" s="672">
        <v>3</v>
      </c>
      <c r="Q1012" s="729" t="e">
        <f>IF(O1012="",0,P1012*L1012/'9b-Vloeronderhoud'!$F$6)</f>
        <v>#DIV/0!</v>
      </c>
      <c r="R1012" s="449">
        <v>1</v>
      </c>
      <c r="S1012" s="672">
        <v>190</v>
      </c>
      <c r="T1012" s="161" t="e">
        <f t="shared" si="81"/>
        <v>#DIV/0!</v>
      </c>
      <c r="U1012" s="162">
        <f>IF(S1012="nio",0,IF(S1012&gt;0,VLOOKUP(G1012,'3-Productie normen'!A:K,VLOOKUP(S1012,'3-Productie normen'!L:N,3,FALSE),FALSE)))</f>
        <v>0</v>
      </c>
      <c r="V1012" s="162">
        <f>VLOOKUP(G1012,'3-Productie normen'!A:K,10,FALSE)</f>
        <v>726.97999910354622</v>
      </c>
      <c r="W1012" s="163">
        <f>VLOOKUP(G1012,'3-Productie normen'!A:K,11,FALSE)</f>
        <v>0</v>
      </c>
      <c r="X1012" s="163"/>
      <c r="Z1012" s="129">
        <f t="shared" si="82"/>
        <v>2090</v>
      </c>
    </row>
    <row r="1013" spans="1:26" ht="14.1" customHeight="1">
      <c r="A1013" s="144">
        <v>1051</v>
      </c>
      <c r="B1013" s="485" t="s">
        <v>247</v>
      </c>
      <c r="C1013" s="303" t="s">
        <v>738</v>
      </c>
      <c r="D1013" s="304" t="s">
        <v>98</v>
      </c>
      <c r="E1013" s="694" t="s">
        <v>295</v>
      </c>
      <c r="F1013" s="303" t="s">
        <v>288</v>
      </c>
      <c r="G1013" s="122" t="s">
        <v>862</v>
      </c>
      <c r="H1013" s="303" t="s">
        <v>734</v>
      </c>
      <c r="I1013" s="582" t="str">
        <f>VLOOKUP(H1013,'9a-Typen vloeren'!$A$10:$B$40,2,FALSE)</f>
        <v>Schrobben</v>
      </c>
      <c r="J1013" s="433">
        <v>103.15000152587891</v>
      </c>
      <c r="K1013" s="433">
        <f t="shared" si="78"/>
        <v>0</v>
      </c>
      <c r="L1013" s="433">
        <f t="shared" si="79"/>
        <v>103.15000152587891</v>
      </c>
      <c r="M1013" s="433">
        <f t="shared" si="80"/>
        <v>0</v>
      </c>
      <c r="N1013" s="672"/>
      <c r="O1013" s="729">
        <f>IF(N1013="",0,N1013*K1013/'9b-Vloeronderhoud'!$F$4)</f>
        <v>0</v>
      </c>
      <c r="P1013" s="672">
        <v>3</v>
      </c>
      <c r="Q1013" s="729" t="e">
        <f>IF(O1013="",0,P1013*L1013/'9b-Vloeronderhoud'!$F$6)</f>
        <v>#DIV/0!</v>
      </c>
      <c r="R1013" s="449">
        <v>1</v>
      </c>
      <c r="S1013" s="672">
        <v>120</v>
      </c>
      <c r="T1013" s="161" t="e">
        <f t="shared" si="81"/>
        <v>#DIV/0!</v>
      </c>
      <c r="U1013" s="162">
        <f>IF(S1013="nio",0,IF(S1013&gt;0,VLOOKUP(G1013,'3-Productie normen'!A:K,VLOOKUP(S1013,'3-Productie normen'!L:N,3,FALSE),FALSE)))</f>
        <v>0</v>
      </c>
      <c r="V1013" s="162">
        <f>VLOOKUP(G1013,'3-Productie normen'!A:K,10,FALSE)</f>
        <v>4374.9900215911857</v>
      </c>
      <c r="W1013" s="163">
        <f>VLOOKUP(G1013,'3-Productie normen'!A:K,11,FALSE)</f>
        <v>0</v>
      </c>
      <c r="X1013" s="163"/>
      <c r="Z1013" s="129">
        <f t="shared" si="82"/>
        <v>12378.000183105469</v>
      </c>
    </row>
    <row r="1014" spans="1:26" ht="14.1" customHeight="1">
      <c r="A1014" s="144">
        <v>1052</v>
      </c>
      <c r="B1014" s="485" t="s">
        <v>247</v>
      </c>
      <c r="C1014" s="303" t="s">
        <v>738</v>
      </c>
      <c r="D1014" s="304" t="s">
        <v>98</v>
      </c>
      <c r="E1014" s="694" t="s">
        <v>296</v>
      </c>
      <c r="F1014" s="303" t="s">
        <v>556</v>
      </c>
      <c r="G1014" s="460" t="s">
        <v>299</v>
      </c>
      <c r="H1014" s="303" t="s">
        <v>734</v>
      </c>
      <c r="I1014" s="582" t="str">
        <f>VLOOKUP(H1014,'9a-Typen vloeren'!$A$10:$B$40,2,FALSE)</f>
        <v>Schrobben</v>
      </c>
      <c r="J1014" s="433">
        <v>13.199999809265137</v>
      </c>
      <c r="K1014" s="433">
        <f t="shared" si="78"/>
        <v>0</v>
      </c>
      <c r="L1014" s="433">
        <f t="shared" si="79"/>
        <v>13.199999809265137</v>
      </c>
      <c r="M1014" s="433">
        <f t="shared" si="80"/>
        <v>0</v>
      </c>
      <c r="N1014" s="672"/>
      <c r="O1014" s="729">
        <f>IF(N1014="",0,N1014*K1014/'9b-Vloeronderhoud'!$F$4)</f>
        <v>0</v>
      </c>
      <c r="P1014" s="672"/>
      <c r="Q1014" s="729" t="e">
        <f>IF(O1014="",0,P1014*L1014/'9b-Vloeronderhoud'!$F$6)</f>
        <v>#DIV/0!</v>
      </c>
      <c r="R1014" s="449">
        <v>1</v>
      </c>
      <c r="S1014" s="672">
        <v>40</v>
      </c>
      <c r="T1014" s="161" t="e">
        <f t="shared" si="81"/>
        <v>#DIV/0!</v>
      </c>
      <c r="U1014" s="162">
        <f>IF(S1014="nio",0,IF(S1014&gt;0,VLOOKUP(G1014,'3-Productie normen'!A:K,VLOOKUP(S1014,'3-Productie normen'!L:N,3,FALSE),FALSE)))</f>
        <v>0</v>
      </c>
      <c r="V1014" s="162">
        <f>VLOOKUP(G1014,'3-Productie normen'!A:K,10,FALSE)</f>
        <v>1107.9100014114381</v>
      </c>
      <c r="W1014" s="163">
        <f>VLOOKUP(G1014,'3-Productie normen'!A:K,11,FALSE)</f>
        <v>0</v>
      </c>
      <c r="X1014" s="163"/>
      <c r="Z1014" s="129">
        <f t="shared" si="82"/>
        <v>527.99999237060547</v>
      </c>
    </row>
    <row r="1015" spans="1:26" ht="14.1" customHeight="1">
      <c r="A1015" s="144">
        <v>1053</v>
      </c>
      <c r="B1015" s="485" t="s">
        <v>247</v>
      </c>
      <c r="C1015" s="303" t="s">
        <v>738</v>
      </c>
      <c r="D1015" s="304" t="s">
        <v>98</v>
      </c>
      <c r="E1015" s="694" t="s">
        <v>298</v>
      </c>
      <c r="F1015" s="303" t="s">
        <v>297</v>
      </c>
      <c r="G1015" s="460" t="s">
        <v>189</v>
      </c>
      <c r="H1015" s="303" t="s">
        <v>734</v>
      </c>
      <c r="I1015" s="582" t="str">
        <f>VLOOKUP(H1015,'9a-Typen vloeren'!$A$10:$B$40,2,FALSE)</f>
        <v>Schrobben</v>
      </c>
      <c r="J1015" s="433">
        <v>13.199999809265137</v>
      </c>
      <c r="K1015" s="433">
        <f t="shared" ref="K1015:K1078" si="83">IF(G1015="niet in onderhoud",0,IF(I1015="sprayen/ conserveren",J1015,0))</f>
        <v>0</v>
      </c>
      <c r="L1015" s="433">
        <f t="shared" ref="L1015:L1078" si="84">IF(G1015="niet in onderhoud",0,IF(I1015="schrobben",J1015,0))</f>
        <v>13.199999809265137</v>
      </c>
      <c r="M1015" s="433">
        <f t="shared" ref="M1015:M1078" si="85">IF(G1015="niet in onderhoud",0,IF(I1015="Sproei/extraheren",J1015,0))</f>
        <v>0</v>
      </c>
      <c r="N1015" s="672"/>
      <c r="O1015" s="729">
        <f>IF(N1015="",0,N1015*K1015/'9b-Vloeronderhoud'!$F$4)</f>
        <v>0</v>
      </c>
      <c r="P1015" s="672"/>
      <c r="Q1015" s="729" t="e">
        <f>IF(O1015="",0,P1015*L1015/'9b-Vloeronderhoud'!$F$6)</f>
        <v>#DIV/0!</v>
      </c>
      <c r="R1015" s="449">
        <v>1</v>
      </c>
      <c r="S1015" s="672">
        <v>40</v>
      </c>
      <c r="T1015" s="161" t="e">
        <f t="shared" si="81"/>
        <v>#DIV/0!</v>
      </c>
      <c r="U1015" s="162">
        <f>IF(S1015="nio",0,IF(S1015&gt;0,VLOOKUP(G1015,'3-Productie normen'!A:K,VLOOKUP(S1015,'3-Productie normen'!L:N,3,FALSE),FALSE)))</f>
        <v>0</v>
      </c>
      <c r="V1015" s="162">
        <f>VLOOKUP(G1015,'3-Productie normen'!A:K,10,FALSE)</f>
        <v>1494.1700078582762</v>
      </c>
      <c r="W1015" s="163">
        <f>VLOOKUP(G1015,'3-Productie normen'!A:K,11,FALSE)</f>
        <v>0</v>
      </c>
      <c r="X1015" s="163"/>
      <c r="Z1015" s="129">
        <f t="shared" si="82"/>
        <v>527.99999237060547</v>
      </c>
    </row>
    <row r="1016" spans="1:26" ht="14.1" customHeight="1">
      <c r="A1016" s="144">
        <v>1054</v>
      </c>
      <c r="B1016" s="485" t="s">
        <v>247</v>
      </c>
      <c r="C1016" s="303" t="s">
        <v>738</v>
      </c>
      <c r="D1016" s="304" t="s">
        <v>98</v>
      </c>
      <c r="E1016" s="694" t="s">
        <v>301</v>
      </c>
      <c r="F1016" s="303" t="s">
        <v>221</v>
      </c>
      <c r="G1016" s="460" t="s">
        <v>221</v>
      </c>
      <c r="H1016" s="303" t="s">
        <v>734</v>
      </c>
      <c r="I1016" s="582" t="str">
        <f>VLOOKUP(H1016,'9a-Typen vloeren'!$A$10:$B$40,2,FALSE)</f>
        <v>Schrobben</v>
      </c>
      <c r="J1016" s="433">
        <v>61.200000762939453</v>
      </c>
      <c r="K1016" s="433">
        <f t="shared" si="83"/>
        <v>0</v>
      </c>
      <c r="L1016" s="433">
        <f t="shared" si="84"/>
        <v>61.200000762939453</v>
      </c>
      <c r="M1016" s="433">
        <f t="shared" si="85"/>
        <v>0</v>
      </c>
      <c r="N1016" s="672"/>
      <c r="O1016" s="729">
        <f>IF(N1016="",0,N1016*K1016/'9b-Vloeronderhoud'!$F$4)</f>
        <v>0</v>
      </c>
      <c r="P1016" s="672"/>
      <c r="Q1016" s="729" t="e">
        <f>IF(O1016="",0,P1016*L1016/'9b-Vloeronderhoud'!$F$6)</f>
        <v>#DIV/0!</v>
      </c>
      <c r="R1016" s="449">
        <v>1</v>
      </c>
      <c r="S1016" s="688" t="s">
        <v>179</v>
      </c>
      <c r="T1016" s="161">
        <f t="shared" si="81"/>
        <v>0</v>
      </c>
      <c r="U1016" s="162">
        <f>IF(S1016="nio",0,IF(S1016&gt;0,VLOOKUP(G1016,'3-Productie normen'!A:K,VLOOKUP(S1016,'3-Productie normen'!L:N,3,FALSE),FALSE)))</f>
        <v>0</v>
      </c>
      <c r="V1016" s="162">
        <f>VLOOKUP(G1016,'3-Productie normen'!A:K,10,FALSE)</f>
        <v>16013.110036668773</v>
      </c>
      <c r="W1016" s="163">
        <f>VLOOKUP(G1016,'3-Productie normen'!A:K,11,FALSE)</f>
        <v>0</v>
      </c>
      <c r="X1016" s="163"/>
      <c r="Z1016" s="129">
        <f t="shared" si="82"/>
        <v>0</v>
      </c>
    </row>
    <row r="1017" spans="1:26" ht="14.1" customHeight="1">
      <c r="A1017" s="144">
        <v>1055</v>
      </c>
      <c r="B1017" s="485" t="s">
        <v>247</v>
      </c>
      <c r="C1017" s="303" t="s">
        <v>738</v>
      </c>
      <c r="D1017" s="304" t="s">
        <v>98</v>
      </c>
      <c r="E1017" s="694" t="s">
        <v>303</v>
      </c>
      <c r="F1017" s="303" t="s">
        <v>302</v>
      </c>
      <c r="G1017" s="303" t="s">
        <v>18</v>
      </c>
      <c r="H1017" s="303" t="s">
        <v>955</v>
      </c>
      <c r="I1017" s="582" t="str">
        <f>VLOOKUP(H1017,'9a-Typen vloeren'!$A$10:$B$40,2,FALSE)</f>
        <v>zie kwaliteitsontwerp</v>
      </c>
      <c r="J1017" s="433">
        <v>5</v>
      </c>
      <c r="K1017" s="433">
        <f t="shared" si="83"/>
        <v>0</v>
      </c>
      <c r="L1017" s="433">
        <f t="shared" si="84"/>
        <v>0</v>
      </c>
      <c r="M1017" s="433">
        <f t="shared" si="85"/>
        <v>0</v>
      </c>
      <c r="N1017" s="672"/>
      <c r="O1017" s="729">
        <f>IF(N1017="",0,N1017*K1017/'9b-Vloeronderhoud'!$F$4)</f>
        <v>0</v>
      </c>
      <c r="P1017" s="672"/>
      <c r="Q1017" s="729" t="e">
        <f>IF(O1017="",0,P1017*L1017/'9b-Vloeronderhoud'!$F$6)</f>
        <v>#DIV/0!</v>
      </c>
      <c r="R1017" s="449">
        <v>1</v>
      </c>
      <c r="S1017" s="672">
        <v>190</v>
      </c>
      <c r="T1017" s="161" t="e">
        <f t="shared" si="81"/>
        <v>#DIV/0!</v>
      </c>
      <c r="U1017" s="162">
        <f>IF(S1017="nio",0,IF(S1017&gt;0,VLOOKUP(G1017,'3-Productie normen'!A:K,VLOOKUP(S1017,'3-Productie normen'!L:N,3,FALSE),FALSE)))</f>
        <v>0</v>
      </c>
      <c r="V1017" s="162">
        <f>VLOOKUP(G1017,'3-Productie normen'!A:K,10,FALSE)</f>
        <v>1859.5880019121171</v>
      </c>
      <c r="W1017" s="163">
        <f>VLOOKUP(G1017,'3-Productie normen'!A:K,11,FALSE)</f>
        <v>0</v>
      </c>
      <c r="X1017" s="163"/>
      <c r="Z1017" s="129">
        <f t="shared" si="82"/>
        <v>950</v>
      </c>
    </row>
    <row r="1018" spans="1:26" ht="14.1" customHeight="1">
      <c r="A1018" s="144">
        <v>1056</v>
      </c>
      <c r="B1018" s="485" t="s">
        <v>247</v>
      </c>
      <c r="C1018" s="303" t="s">
        <v>738</v>
      </c>
      <c r="D1018" s="304" t="s">
        <v>98</v>
      </c>
      <c r="E1018" s="694" t="s">
        <v>305</v>
      </c>
      <c r="F1018" s="303" t="s">
        <v>281</v>
      </c>
      <c r="G1018" s="460" t="s">
        <v>881</v>
      </c>
      <c r="H1018" s="303" t="s">
        <v>101</v>
      </c>
      <c r="I1018" s="582" t="str">
        <f>VLOOKUP(H1018,'9a-Typen vloeren'!$A$10:$B$40,2,FALSE)</f>
        <v>Schrobben</v>
      </c>
      <c r="J1018" s="433">
        <v>2.2000000476837158</v>
      </c>
      <c r="K1018" s="433">
        <f t="shared" si="83"/>
        <v>0</v>
      </c>
      <c r="L1018" s="433">
        <f t="shared" si="84"/>
        <v>0</v>
      </c>
      <c r="M1018" s="433">
        <f t="shared" si="85"/>
        <v>0</v>
      </c>
      <c r="N1018" s="672"/>
      <c r="O1018" s="729">
        <f>IF(N1018="",0,N1018*K1018/'9b-Vloeronderhoud'!$F$4)</f>
        <v>0</v>
      </c>
      <c r="P1018" s="672"/>
      <c r="Q1018" s="729" t="e">
        <f>IF(O1018="",0,P1018*L1018/'9b-Vloeronderhoud'!$F$6)</f>
        <v>#DIV/0!</v>
      </c>
      <c r="R1018" s="449">
        <v>1</v>
      </c>
      <c r="S1018" s="672" t="s">
        <v>179</v>
      </c>
      <c r="T1018" s="161">
        <f t="shared" si="81"/>
        <v>0</v>
      </c>
      <c r="U1018" s="162">
        <f>IF(S1018="nio",0,IF(S1018&gt;0,VLOOKUP(G1018,'3-Productie normen'!A:K,VLOOKUP(S1018,'3-Productie normen'!L:N,3,FALSE),FALSE)))</f>
        <v>0</v>
      </c>
      <c r="V1018" s="162">
        <f>VLOOKUP(G1018,'3-Productie normen'!A:K,10,FALSE)</f>
        <v>5262.809993648526</v>
      </c>
      <c r="W1018" s="163">
        <f>VLOOKUP(G1018,'3-Productie normen'!A:K,11,FALSE)</f>
        <v>0</v>
      </c>
      <c r="X1018" s="163"/>
      <c r="Z1018" s="129">
        <f t="shared" si="82"/>
        <v>0</v>
      </c>
    </row>
    <row r="1019" spans="1:26" ht="14.1" customHeight="1">
      <c r="A1019" s="144">
        <v>1057</v>
      </c>
      <c r="B1019" s="485" t="s">
        <v>247</v>
      </c>
      <c r="C1019" s="303" t="s">
        <v>738</v>
      </c>
      <c r="D1019" s="304" t="s">
        <v>98</v>
      </c>
      <c r="E1019" s="694" t="s">
        <v>306</v>
      </c>
      <c r="F1019" s="303" t="s">
        <v>709</v>
      </c>
      <c r="G1019" s="303" t="s">
        <v>191</v>
      </c>
      <c r="H1019" s="303" t="s">
        <v>332</v>
      </c>
      <c r="I1019" s="582" t="str">
        <f>VLOOKUP(H1019,'9a-Typen vloeren'!$A$10:$B$40,2,FALSE)</f>
        <v>Sproei/extraheren</v>
      </c>
      <c r="J1019" s="433">
        <v>27.5</v>
      </c>
      <c r="K1019" s="433">
        <f t="shared" si="83"/>
        <v>0</v>
      </c>
      <c r="L1019" s="433">
        <f t="shared" si="84"/>
        <v>0</v>
      </c>
      <c r="M1019" s="433">
        <f t="shared" si="85"/>
        <v>27.5</v>
      </c>
      <c r="N1019" s="672"/>
      <c r="O1019" s="729">
        <f>IF(N1019="",0,N1019*K1019/'9b-Vloeronderhoud'!$F$4)</f>
        <v>0</v>
      </c>
      <c r="P1019" s="672"/>
      <c r="Q1019" s="729" t="e">
        <f>IF(O1019="",0,P1019*L1019/'9b-Vloeronderhoud'!$F$6)</f>
        <v>#DIV/0!</v>
      </c>
      <c r="R1019" s="449">
        <v>1</v>
      </c>
      <c r="S1019" s="672">
        <v>40</v>
      </c>
      <c r="T1019" s="161" t="e">
        <f t="shared" si="81"/>
        <v>#DIV/0!</v>
      </c>
      <c r="U1019" s="162">
        <f>IF(S1019="nio",0,IF(S1019&gt;0,VLOOKUP(G1019,'3-Productie normen'!A:K,VLOOKUP(S1019,'3-Productie normen'!L:N,3,FALSE),FALSE)))</f>
        <v>0</v>
      </c>
      <c r="V1019" s="162">
        <f>VLOOKUP(G1019,'3-Productie normen'!A:K,10,FALSE)</f>
        <v>314.55999933242794</v>
      </c>
      <c r="W1019" s="163">
        <f>VLOOKUP(G1019,'3-Productie normen'!A:K,11,FALSE)</f>
        <v>0</v>
      </c>
      <c r="X1019" s="163"/>
      <c r="Z1019" s="129">
        <f t="shared" si="82"/>
        <v>1100</v>
      </c>
    </row>
    <row r="1020" spans="1:26" ht="14.1" customHeight="1">
      <c r="A1020" s="144">
        <v>1058</v>
      </c>
      <c r="B1020" s="485" t="s">
        <v>247</v>
      </c>
      <c r="C1020" s="303" t="s">
        <v>738</v>
      </c>
      <c r="D1020" s="304" t="s">
        <v>98</v>
      </c>
      <c r="E1020" s="694" t="s">
        <v>307</v>
      </c>
      <c r="F1020" s="303" t="s">
        <v>221</v>
      </c>
      <c r="G1020" s="122" t="s">
        <v>221</v>
      </c>
      <c r="H1020" s="303" t="s">
        <v>734</v>
      </c>
      <c r="I1020" s="582" t="str">
        <f>VLOOKUP(H1020,'9a-Typen vloeren'!$A$10:$B$40,2,FALSE)</f>
        <v>Schrobben</v>
      </c>
      <c r="J1020" s="433">
        <v>61.200000762939453</v>
      </c>
      <c r="K1020" s="433">
        <f t="shared" si="83"/>
        <v>0</v>
      </c>
      <c r="L1020" s="433">
        <f t="shared" si="84"/>
        <v>61.200000762939453</v>
      </c>
      <c r="M1020" s="433">
        <f t="shared" si="85"/>
        <v>0</v>
      </c>
      <c r="N1020" s="672"/>
      <c r="O1020" s="729">
        <f>IF(N1020="",0,N1020*K1020/'9b-Vloeronderhoud'!$F$4)</f>
        <v>0</v>
      </c>
      <c r="P1020" s="672"/>
      <c r="Q1020" s="729" t="e">
        <f>IF(O1020="",0,P1020*L1020/'9b-Vloeronderhoud'!$F$6)</f>
        <v>#DIV/0!</v>
      </c>
      <c r="R1020" s="449">
        <v>1</v>
      </c>
      <c r="S1020" s="672">
        <v>80</v>
      </c>
      <c r="T1020" s="161" t="e">
        <f t="shared" si="81"/>
        <v>#DIV/0!</v>
      </c>
      <c r="U1020" s="162">
        <f>IF(S1020="nio",0,IF(S1020&gt;0,VLOOKUP(G1020,'3-Productie normen'!A:K,VLOOKUP(S1020,'3-Productie normen'!L:N,3,FALSE),FALSE)))</f>
        <v>0</v>
      </c>
      <c r="V1020" s="162">
        <f>VLOOKUP(G1020,'3-Productie normen'!A:K,10,FALSE)</f>
        <v>16013.110036668773</v>
      </c>
      <c r="W1020" s="163">
        <f>VLOOKUP(G1020,'3-Productie normen'!A:K,11,FALSE)</f>
        <v>0</v>
      </c>
      <c r="X1020" s="163"/>
      <c r="Z1020" s="129">
        <f t="shared" si="82"/>
        <v>4896.0000610351563</v>
      </c>
    </row>
    <row r="1021" spans="1:26" ht="14.1" customHeight="1">
      <c r="A1021" s="144">
        <v>1059</v>
      </c>
      <c r="B1021" s="485" t="s">
        <v>247</v>
      </c>
      <c r="C1021" s="303" t="s">
        <v>738</v>
      </c>
      <c r="D1021" s="304" t="s">
        <v>98</v>
      </c>
      <c r="E1021" s="694" t="s">
        <v>309</v>
      </c>
      <c r="F1021" s="126" t="s">
        <v>304</v>
      </c>
      <c r="G1021" s="303" t="s">
        <v>18</v>
      </c>
      <c r="H1021" s="303" t="s">
        <v>955</v>
      </c>
      <c r="I1021" s="582" t="str">
        <f>VLOOKUP(H1021,'9a-Typen vloeren'!$A$10:$B$40,2,FALSE)</f>
        <v>zie kwaliteitsontwerp</v>
      </c>
      <c r="J1021" s="433">
        <v>5</v>
      </c>
      <c r="K1021" s="433">
        <f t="shared" si="83"/>
        <v>0</v>
      </c>
      <c r="L1021" s="433">
        <f t="shared" si="84"/>
        <v>0</v>
      </c>
      <c r="M1021" s="433">
        <f t="shared" si="85"/>
        <v>0</v>
      </c>
      <c r="N1021" s="672"/>
      <c r="O1021" s="729">
        <f>IF(N1021="",0,N1021*K1021/'9b-Vloeronderhoud'!$F$4)</f>
        <v>0</v>
      </c>
      <c r="P1021" s="672"/>
      <c r="Q1021" s="729" t="e">
        <f>IF(O1021="",0,P1021*L1021/'9b-Vloeronderhoud'!$F$6)</f>
        <v>#DIV/0!</v>
      </c>
      <c r="R1021" s="449">
        <v>1</v>
      </c>
      <c r="S1021" s="672">
        <v>190</v>
      </c>
      <c r="T1021" s="161" t="e">
        <f t="shared" si="81"/>
        <v>#DIV/0!</v>
      </c>
      <c r="U1021" s="162">
        <f>IF(S1021="nio",0,IF(S1021&gt;0,VLOOKUP(G1021,'3-Productie normen'!A:K,VLOOKUP(S1021,'3-Productie normen'!L:N,3,FALSE),FALSE)))</f>
        <v>0</v>
      </c>
      <c r="V1021" s="162">
        <f>VLOOKUP(G1021,'3-Productie normen'!A:K,10,FALSE)</f>
        <v>1859.5880019121171</v>
      </c>
      <c r="W1021" s="163">
        <f>VLOOKUP(G1021,'3-Productie normen'!A:K,11,FALSE)</f>
        <v>0</v>
      </c>
      <c r="X1021" s="163"/>
      <c r="Z1021" s="129">
        <f t="shared" si="82"/>
        <v>950</v>
      </c>
    </row>
    <row r="1022" spans="1:26" ht="14.1" customHeight="1">
      <c r="A1022" s="144">
        <v>1060</v>
      </c>
      <c r="B1022" s="485" t="s">
        <v>247</v>
      </c>
      <c r="C1022" s="303" t="s">
        <v>738</v>
      </c>
      <c r="D1022" s="304" t="s">
        <v>98</v>
      </c>
      <c r="E1022" s="694" t="s">
        <v>311</v>
      </c>
      <c r="F1022" s="303" t="s">
        <v>99</v>
      </c>
      <c r="G1022" s="303" t="s">
        <v>99</v>
      </c>
      <c r="H1022" s="303" t="s">
        <v>332</v>
      </c>
      <c r="I1022" s="582" t="str">
        <f>VLOOKUP(H1022,'9a-Typen vloeren'!$A$10:$B$40,2,FALSE)</f>
        <v>Sproei/extraheren</v>
      </c>
      <c r="J1022" s="433">
        <v>4.6999998092651367</v>
      </c>
      <c r="K1022" s="433">
        <f t="shared" si="83"/>
        <v>0</v>
      </c>
      <c r="L1022" s="433">
        <f t="shared" si="84"/>
        <v>0</v>
      </c>
      <c r="M1022" s="433">
        <f t="shared" si="85"/>
        <v>4.6999998092651367</v>
      </c>
      <c r="N1022" s="672"/>
      <c r="O1022" s="729">
        <f>IF(N1022="",0,N1022*K1022/'9b-Vloeronderhoud'!$F$4)</f>
        <v>0</v>
      </c>
      <c r="P1022" s="672"/>
      <c r="Q1022" s="729" t="e">
        <f>IF(O1022="",0,P1022*L1022/'9b-Vloeronderhoud'!$F$6)</f>
        <v>#DIV/0!</v>
      </c>
      <c r="R1022" s="449">
        <v>1</v>
      </c>
      <c r="S1022" s="672">
        <v>190</v>
      </c>
      <c r="T1022" s="161" t="e">
        <f t="shared" si="81"/>
        <v>#DIV/0!</v>
      </c>
      <c r="U1022" s="162">
        <f>IF(S1022="nio",0,IF(S1022&gt;0,VLOOKUP(G1022,'3-Productie normen'!A:K,VLOOKUP(S1022,'3-Productie normen'!L:N,3,FALSE),FALSE)))</f>
        <v>0</v>
      </c>
      <c r="V1022" s="162">
        <f>VLOOKUP(G1022,'3-Productie normen'!A:K,10,FALSE)</f>
        <v>726.97999910354622</v>
      </c>
      <c r="W1022" s="163">
        <f>VLOOKUP(G1022,'3-Productie normen'!A:K,11,FALSE)</f>
        <v>0</v>
      </c>
      <c r="X1022" s="163"/>
      <c r="Z1022" s="129">
        <f t="shared" si="82"/>
        <v>892.99996376037598</v>
      </c>
    </row>
    <row r="1023" spans="1:26" ht="14.1" customHeight="1">
      <c r="A1023" s="144">
        <v>1061</v>
      </c>
      <c r="B1023" s="485" t="s">
        <v>247</v>
      </c>
      <c r="C1023" s="303" t="s">
        <v>738</v>
      </c>
      <c r="D1023" s="304" t="s">
        <v>98</v>
      </c>
      <c r="E1023" s="694" t="s">
        <v>312</v>
      </c>
      <c r="F1023" s="303" t="s">
        <v>551</v>
      </c>
      <c r="G1023" s="460" t="s">
        <v>285</v>
      </c>
      <c r="H1023" s="303" t="s">
        <v>734</v>
      </c>
      <c r="I1023" s="582" t="str">
        <f>VLOOKUP(H1023,'9a-Typen vloeren'!$A$10:$B$40,2,FALSE)</f>
        <v>Schrobben</v>
      </c>
      <c r="J1023" s="433">
        <v>69.699996948242188</v>
      </c>
      <c r="K1023" s="433">
        <f t="shared" si="83"/>
        <v>0</v>
      </c>
      <c r="L1023" s="433">
        <f t="shared" si="84"/>
        <v>69.699996948242188</v>
      </c>
      <c r="M1023" s="433">
        <f t="shared" si="85"/>
        <v>0</v>
      </c>
      <c r="N1023" s="672"/>
      <c r="O1023" s="729">
        <f>IF(N1023="",0,N1023*K1023/'9b-Vloeronderhoud'!$F$4)</f>
        <v>0</v>
      </c>
      <c r="P1023" s="672"/>
      <c r="Q1023" s="729" t="e">
        <f>IF(O1023="",0,P1023*L1023/'9b-Vloeronderhoud'!$F$6)</f>
        <v>#DIV/0!</v>
      </c>
      <c r="R1023" s="449">
        <v>1</v>
      </c>
      <c r="S1023" s="672">
        <v>190</v>
      </c>
      <c r="T1023" s="161" t="e">
        <f t="shared" si="81"/>
        <v>#DIV/0!</v>
      </c>
      <c r="U1023" s="162">
        <f>IF(S1023="nio",0,IF(S1023&gt;0,VLOOKUP(G1023,'3-Productie normen'!A:K,VLOOKUP(S1023,'3-Productie normen'!L:N,3,FALSE),FALSE)))</f>
        <v>0</v>
      </c>
      <c r="V1023" s="162">
        <f>VLOOKUP(G1023,'3-Productie normen'!A:K,10,FALSE)</f>
        <v>3305.8200070953367</v>
      </c>
      <c r="W1023" s="163">
        <f>VLOOKUP(G1023,'3-Productie normen'!A:K,11,FALSE)</f>
        <v>0</v>
      </c>
      <c r="X1023" s="163"/>
      <c r="Z1023" s="129">
        <f t="shared" si="82"/>
        <v>13242.999420166016</v>
      </c>
    </row>
    <row r="1024" spans="1:26" ht="14.1" customHeight="1">
      <c r="A1024" s="144">
        <v>1062</v>
      </c>
      <c r="B1024" s="485" t="s">
        <v>247</v>
      </c>
      <c r="C1024" s="303" t="s">
        <v>738</v>
      </c>
      <c r="D1024" s="304" t="s">
        <v>98</v>
      </c>
      <c r="E1024" s="694" t="s">
        <v>714</v>
      </c>
      <c r="F1024" s="303" t="s">
        <v>344</v>
      </c>
      <c r="G1024" s="460" t="s">
        <v>221</v>
      </c>
      <c r="H1024" s="303" t="s">
        <v>101</v>
      </c>
      <c r="I1024" s="582" t="str">
        <f>VLOOKUP(H1024,'9a-Typen vloeren'!$A$10:$B$40,2,FALSE)</f>
        <v>Schrobben</v>
      </c>
      <c r="J1024" s="433">
        <v>14.199999809265137</v>
      </c>
      <c r="K1024" s="433">
        <f t="shared" si="83"/>
        <v>0</v>
      </c>
      <c r="L1024" s="433">
        <f t="shared" si="84"/>
        <v>14.199999809265137</v>
      </c>
      <c r="M1024" s="433">
        <f t="shared" si="85"/>
        <v>0</v>
      </c>
      <c r="N1024" s="672"/>
      <c r="O1024" s="729">
        <f>IF(N1024="",0,N1024*K1024/'9b-Vloeronderhoud'!$F$4)</f>
        <v>0</v>
      </c>
      <c r="P1024" s="672"/>
      <c r="Q1024" s="729" t="e">
        <f>IF(O1024="",0,P1024*L1024/'9b-Vloeronderhoud'!$F$6)</f>
        <v>#DIV/0!</v>
      </c>
      <c r="R1024" s="449">
        <v>1</v>
      </c>
      <c r="S1024" s="672">
        <v>80</v>
      </c>
      <c r="T1024" s="161" t="e">
        <f t="shared" si="81"/>
        <v>#DIV/0!</v>
      </c>
      <c r="U1024" s="162">
        <f>IF(S1024="nio",0,IF(S1024&gt;0,VLOOKUP(G1024,'3-Productie normen'!A:K,VLOOKUP(S1024,'3-Productie normen'!L:N,3,FALSE),FALSE)))</f>
        <v>0</v>
      </c>
      <c r="V1024" s="162">
        <f>VLOOKUP(G1024,'3-Productie normen'!A:K,10,FALSE)</f>
        <v>16013.110036668773</v>
      </c>
      <c r="W1024" s="163">
        <f>VLOOKUP(G1024,'3-Productie normen'!A:K,11,FALSE)</f>
        <v>0</v>
      </c>
      <c r="X1024" s="163"/>
      <c r="Z1024" s="129">
        <f t="shared" si="82"/>
        <v>1135.9999847412109</v>
      </c>
    </row>
    <row r="1025" spans="1:26" ht="14.1" customHeight="1">
      <c r="A1025" s="144">
        <v>1063</v>
      </c>
      <c r="B1025" s="485" t="s">
        <v>247</v>
      </c>
      <c r="C1025" s="303" t="s">
        <v>738</v>
      </c>
      <c r="D1025" s="304" t="s">
        <v>98</v>
      </c>
      <c r="E1025" s="694" t="s">
        <v>314</v>
      </c>
      <c r="F1025" s="303" t="s">
        <v>302</v>
      </c>
      <c r="G1025" s="460" t="s">
        <v>18</v>
      </c>
      <c r="H1025" s="303" t="s">
        <v>955</v>
      </c>
      <c r="I1025" s="582" t="str">
        <f>VLOOKUP(H1025,'9a-Typen vloeren'!$A$10:$B$40,2,FALSE)</f>
        <v>zie kwaliteitsontwerp</v>
      </c>
      <c r="J1025" s="433">
        <v>5</v>
      </c>
      <c r="K1025" s="433">
        <f t="shared" si="83"/>
        <v>0</v>
      </c>
      <c r="L1025" s="433">
        <f t="shared" si="84"/>
        <v>0</v>
      </c>
      <c r="M1025" s="433">
        <f t="shared" si="85"/>
        <v>0</v>
      </c>
      <c r="N1025" s="672"/>
      <c r="O1025" s="729">
        <f>IF(N1025="",0,N1025*K1025/'9b-Vloeronderhoud'!$F$4)</f>
        <v>0</v>
      </c>
      <c r="P1025" s="672"/>
      <c r="Q1025" s="729" t="e">
        <f>IF(O1025="",0,P1025*L1025/'9b-Vloeronderhoud'!$F$6)</f>
        <v>#DIV/0!</v>
      </c>
      <c r="R1025" s="449">
        <v>1</v>
      </c>
      <c r="S1025" s="672">
        <v>190</v>
      </c>
      <c r="T1025" s="161" t="e">
        <f t="shared" si="81"/>
        <v>#DIV/0!</v>
      </c>
      <c r="U1025" s="162">
        <f>IF(S1025="nio",0,IF(S1025&gt;0,VLOOKUP(G1025,'3-Productie normen'!A:K,VLOOKUP(S1025,'3-Productie normen'!L:N,3,FALSE),FALSE)))</f>
        <v>0</v>
      </c>
      <c r="V1025" s="162">
        <f>VLOOKUP(G1025,'3-Productie normen'!A:K,10,FALSE)</f>
        <v>1859.5880019121171</v>
      </c>
      <c r="W1025" s="163">
        <f>VLOOKUP(G1025,'3-Productie normen'!A:K,11,FALSE)</f>
        <v>0</v>
      </c>
      <c r="X1025" s="163"/>
      <c r="Z1025" s="129">
        <f t="shared" si="82"/>
        <v>950</v>
      </c>
    </row>
    <row r="1026" spans="1:26" ht="14.1" customHeight="1">
      <c r="A1026" s="144">
        <v>1064</v>
      </c>
      <c r="B1026" s="485" t="s">
        <v>247</v>
      </c>
      <c r="C1026" s="303" t="s">
        <v>738</v>
      </c>
      <c r="D1026" s="304" t="s">
        <v>98</v>
      </c>
      <c r="E1026" s="694" t="s">
        <v>315</v>
      </c>
      <c r="F1026" s="303" t="s">
        <v>856</v>
      </c>
      <c r="G1026" s="303" t="s">
        <v>286</v>
      </c>
      <c r="H1026" s="303" t="s">
        <v>734</v>
      </c>
      <c r="I1026" s="582" t="str">
        <f>VLOOKUP(H1026,'9a-Typen vloeren'!$A$10:$B$40,2,FALSE)</f>
        <v>Schrobben</v>
      </c>
      <c r="J1026" s="433">
        <v>29.399999618530273</v>
      </c>
      <c r="K1026" s="433">
        <f t="shared" si="83"/>
        <v>0</v>
      </c>
      <c r="L1026" s="433">
        <f t="shared" si="84"/>
        <v>29.399999618530273</v>
      </c>
      <c r="M1026" s="433">
        <f t="shared" si="85"/>
        <v>0</v>
      </c>
      <c r="N1026" s="672"/>
      <c r="O1026" s="729">
        <f>IF(N1026="",0,N1026*K1026/'9b-Vloeronderhoud'!$F$4)</f>
        <v>0</v>
      </c>
      <c r="P1026" s="672">
        <v>3</v>
      </c>
      <c r="Q1026" s="729" t="e">
        <f>IF(O1026="",0,P1026*L1026/'9b-Vloeronderhoud'!$F$6)</f>
        <v>#DIV/0!</v>
      </c>
      <c r="R1026" s="449">
        <v>1</v>
      </c>
      <c r="S1026" s="672">
        <v>120</v>
      </c>
      <c r="T1026" s="161" t="e">
        <f t="shared" si="81"/>
        <v>#DIV/0!</v>
      </c>
      <c r="U1026" s="162">
        <f>IF(S1026="nio",0,IF(S1026&gt;0,VLOOKUP(G1026,'3-Productie normen'!A:K,VLOOKUP(S1026,'3-Productie normen'!L:N,3,FALSE),FALSE)))</f>
        <v>0</v>
      </c>
      <c r="V1026" s="162">
        <f>VLOOKUP(G1026,'3-Productie normen'!A:K,10,FALSE)</f>
        <v>6152.9500017547598</v>
      </c>
      <c r="W1026" s="163">
        <f>VLOOKUP(G1026,'3-Productie normen'!A:K,11,FALSE)</f>
        <v>0</v>
      </c>
      <c r="X1026" s="163"/>
      <c r="Z1026" s="129">
        <f t="shared" si="82"/>
        <v>3527.9999542236328</v>
      </c>
    </row>
    <row r="1027" spans="1:26" ht="14.1" customHeight="1">
      <c r="A1027" s="144">
        <v>1065</v>
      </c>
      <c r="B1027" s="485" t="s">
        <v>247</v>
      </c>
      <c r="C1027" s="303" t="s">
        <v>738</v>
      </c>
      <c r="D1027" s="304" t="s">
        <v>98</v>
      </c>
      <c r="E1027" s="694" t="s">
        <v>317</v>
      </c>
      <c r="F1027" s="303" t="s">
        <v>302</v>
      </c>
      <c r="G1027" s="122" t="s">
        <v>18</v>
      </c>
      <c r="H1027" s="303" t="s">
        <v>955</v>
      </c>
      <c r="I1027" s="582" t="str">
        <f>VLOOKUP(H1027,'9a-Typen vloeren'!$A$10:$B$40,2,FALSE)</f>
        <v>zie kwaliteitsontwerp</v>
      </c>
      <c r="J1027" s="433">
        <v>10.699999809265137</v>
      </c>
      <c r="K1027" s="433">
        <f t="shared" si="83"/>
        <v>0</v>
      </c>
      <c r="L1027" s="433">
        <f t="shared" si="84"/>
        <v>0</v>
      </c>
      <c r="M1027" s="433">
        <f t="shared" si="85"/>
        <v>0</v>
      </c>
      <c r="N1027" s="672"/>
      <c r="O1027" s="729">
        <f>IF(N1027="",0,N1027*K1027/'9b-Vloeronderhoud'!$F$4)</f>
        <v>0</v>
      </c>
      <c r="P1027" s="672"/>
      <c r="Q1027" s="729" t="e">
        <f>IF(O1027="",0,P1027*L1027/'9b-Vloeronderhoud'!$F$6)</f>
        <v>#DIV/0!</v>
      </c>
      <c r="R1027" s="449">
        <v>1</v>
      </c>
      <c r="S1027" s="672">
        <v>190</v>
      </c>
      <c r="T1027" s="161" t="e">
        <f t="shared" si="81"/>
        <v>#DIV/0!</v>
      </c>
      <c r="U1027" s="162">
        <f>IF(S1027="nio",0,IF(S1027&gt;0,VLOOKUP(G1027,'3-Productie normen'!A:K,VLOOKUP(S1027,'3-Productie normen'!L:N,3,FALSE),FALSE)))</f>
        <v>0</v>
      </c>
      <c r="V1027" s="162">
        <f>VLOOKUP(G1027,'3-Productie normen'!A:K,10,FALSE)</f>
        <v>1859.5880019121171</v>
      </c>
      <c r="W1027" s="163">
        <f>VLOOKUP(G1027,'3-Productie normen'!A:K,11,FALSE)</f>
        <v>0</v>
      </c>
      <c r="X1027" s="163"/>
      <c r="Z1027" s="129">
        <f t="shared" si="82"/>
        <v>2032.999963760376</v>
      </c>
    </row>
    <row r="1028" spans="1:26" ht="14.1" customHeight="1">
      <c r="A1028" s="144">
        <v>1066</v>
      </c>
      <c r="B1028" s="485" t="s">
        <v>247</v>
      </c>
      <c r="C1028" s="303" t="s">
        <v>738</v>
      </c>
      <c r="D1028" s="304" t="s">
        <v>98</v>
      </c>
      <c r="E1028" s="694" t="s">
        <v>318</v>
      </c>
      <c r="F1028" s="303" t="s">
        <v>99</v>
      </c>
      <c r="G1028" s="122" t="s">
        <v>99</v>
      </c>
      <c r="H1028" s="303" t="s">
        <v>332</v>
      </c>
      <c r="I1028" s="582" t="str">
        <f>VLOOKUP(H1028,'9a-Typen vloeren'!$A$10:$B$40,2,FALSE)</f>
        <v>Sproei/extraheren</v>
      </c>
      <c r="J1028" s="433">
        <v>8.3999996185302734</v>
      </c>
      <c r="K1028" s="433">
        <f t="shared" si="83"/>
        <v>0</v>
      </c>
      <c r="L1028" s="433">
        <f t="shared" si="84"/>
        <v>0</v>
      </c>
      <c r="M1028" s="433">
        <f t="shared" si="85"/>
        <v>8.3999996185302734</v>
      </c>
      <c r="N1028" s="672"/>
      <c r="O1028" s="729">
        <f>IF(N1028="",0,N1028*K1028/'9b-Vloeronderhoud'!$F$4)</f>
        <v>0</v>
      </c>
      <c r="P1028" s="672"/>
      <c r="Q1028" s="729" t="e">
        <f>IF(O1028="",0,P1028*L1028/'9b-Vloeronderhoud'!$F$6)</f>
        <v>#DIV/0!</v>
      </c>
      <c r="R1028" s="449">
        <v>1</v>
      </c>
      <c r="S1028" s="672">
        <v>190</v>
      </c>
      <c r="T1028" s="161" t="e">
        <f t="shared" si="81"/>
        <v>#DIV/0!</v>
      </c>
      <c r="U1028" s="162">
        <f>IF(S1028="nio",0,IF(S1028&gt;0,VLOOKUP(G1028,'3-Productie normen'!A:K,VLOOKUP(S1028,'3-Productie normen'!L:N,3,FALSE),FALSE)))</f>
        <v>0</v>
      </c>
      <c r="V1028" s="162">
        <f>VLOOKUP(G1028,'3-Productie normen'!A:K,10,FALSE)</f>
        <v>726.97999910354622</v>
      </c>
      <c r="W1028" s="163">
        <f>VLOOKUP(G1028,'3-Productie normen'!A:K,11,FALSE)</f>
        <v>0</v>
      </c>
      <c r="X1028" s="163"/>
      <c r="Z1028" s="129">
        <f t="shared" si="82"/>
        <v>1595.999927520752</v>
      </c>
    </row>
    <row r="1029" spans="1:26" ht="14.1" customHeight="1">
      <c r="A1029" s="144">
        <v>1067</v>
      </c>
      <c r="B1029" s="485" t="s">
        <v>247</v>
      </c>
      <c r="C1029" s="303" t="s">
        <v>738</v>
      </c>
      <c r="D1029" s="304" t="s">
        <v>98</v>
      </c>
      <c r="E1029" s="694" t="s">
        <v>319</v>
      </c>
      <c r="F1029" s="303" t="s">
        <v>710</v>
      </c>
      <c r="G1029" s="502" t="s">
        <v>347</v>
      </c>
      <c r="H1029" s="303" t="s">
        <v>100</v>
      </c>
      <c r="I1029" s="582" t="str">
        <f>VLOOKUP(H1029,'9a-Typen vloeren'!$A$10:$B$40,2,FALSE)</f>
        <v>Sprayen/ conserveren</v>
      </c>
      <c r="J1029" s="433">
        <v>40.299999237060547</v>
      </c>
      <c r="K1029" s="433">
        <f t="shared" si="83"/>
        <v>40.299999237060547</v>
      </c>
      <c r="L1029" s="433">
        <f t="shared" si="84"/>
        <v>0</v>
      </c>
      <c r="M1029" s="433">
        <f t="shared" si="85"/>
        <v>0</v>
      </c>
      <c r="N1029" s="672"/>
      <c r="O1029" s="729">
        <f>IF(N1029="",0,N1029*K1029/'9b-Vloeronderhoud'!$F$4)</f>
        <v>0</v>
      </c>
      <c r="P1029" s="672"/>
      <c r="Q1029" s="729" t="e">
        <f>IF(O1029="",0,P1029*L1029/'9b-Vloeronderhoud'!$F$6)</f>
        <v>#DIV/0!</v>
      </c>
      <c r="R1029" s="449">
        <v>1</v>
      </c>
      <c r="S1029" s="672">
        <v>44</v>
      </c>
      <c r="T1029" s="161" t="e">
        <f t="shared" si="81"/>
        <v>#DIV/0!</v>
      </c>
      <c r="U1029" s="162">
        <f>IF(S1029="nio",0,IF(S1029&gt;0,VLOOKUP(G1029,'3-Productie normen'!A:K,VLOOKUP(S1029,'3-Productie normen'!L:N,3,FALSE),FALSE)))</f>
        <v>0</v>
      </c>
      <c r="V1029" s="162">
        <f>VLOOKUP(G1029,'3-Productie normen'!A:K,10,FALSE)</f>
        <v>1134.6299961853026</v>
      </c>
      <c r="W1029" s="163">
        <f>VLOOKUP(G1029,'3-Productie normen'!A:K,11,FALSE)</f>
        <v>0</v>
      </c>
      <c r="X1029" s="163"/>
      <c r="Z1029" s="129">
        <f t="shared" si="82"/>
        <v>1773.1999664306641</v>
      </c>
    </row>
    <row r="1030" spans="1:26" ht="14.1" customHeight="1">
      <c r="A1030" s="144">
        <v>1068</v>
      </c>
      <c r="B1030" s="485" t="s">
        <v>247</v>
      </c>
      <c r="C1030" s="303" t="s">
        <v>738</v>
      </c>
      <c r="D1030" s="304" t="s">
        <v>98</v>
      </c>
      <c r="E1030" s="694" t="s">
        <v>320</v>
      </c>
      <c r="F1030" s="303" t="s">
        <v>282</v>
      </c>
      <c r="G1030" s="460" t="s">
        <v>881</v>
      </c>
      <c r="H1030" s="303" t="s">
        <v>100</v>
      </c>
      <c r="I1030" s="582" t="str">
        <f>VLOOKUP(H1030,'9a-Typen vloeren'!$A$10:$B$40,2,FALSE)</f>
        <v>Sprayen/ conserveren</v>
      </c>
      <c r="J1030" s="433">
        <v>3.4000000953674316</v>
      </c>
      <c r="K1030" s="433">
        <f t="shared" si="83"/>
        <v>0</v>
      </c>
      <c r="L1030" s="433">
        <f t="shared" si="84"/>
        <v>0</v>
      </c>
      <c r="M1030" s="433">
        <f t="shared" si="85"/>
        <v>0</v>
      </c>
      <c r="N1030" s="672"/>
      <c r="O1030" s="729">
        <f>IF(N1030="",0,N1030*K1030/'9b-Vloeronderhoud'!$F$4)</f>
        <v>0</v>
      </c>
      <c r="P1030" s="672"/>
      <c r="Q1030" s="729" t="e">
        <f>IF(O1030="",0,P1030*L1030/'9b-Vloeronderhoud'!$F$6)</f>
        <v>#DIV/0!</v>
      </c>
      <c r="R1030" s="449">
        <v>1</v>
      </c>
      <c r="S1030" s="672" t="s">
        <v>179</v>
      </c>
      <c r="T1030" s="161">
        <f t="shared" si="81"/>
        <v>0</v>
      </c>
      <c r="U1030" s="162">
        <f>IF(S1030="nio",0,IF(S1030&gt;0,VLOOKUP(G1030,'3-Productie normen'!A:K,VLOOKUP(S1030,'3-Productie normen'!L:N,3,FALSE),FALSE)))</f>
        <v>0</v>
      </c>
      <c r="V1030" s="162">
        <f>VLOOKUP(G1030,'3-Productie normen'!A:K,10,FALSE)</f>
        <v>5262.809993648526</v>
      </c>
      <c r="W1030" s="163">
        <f>VLOOKUP(G1030,'3-Productie normen'!A:K,11,FALSE)</f>
        <v>0</v>
      </c>
      <c r="X1030" s="163"/>
      <c r="Z1030" s="129">
        <f t="shared" si="82"/>
        <v>0</v>
      </c>
    </row>
    <row r="1031" spans="1:26" ht="14.1" customHeight="1">
      <c r="A1031" s="144">
        <v>1069</v>
      </c>
      <c r="B1031" s="485" t="s">
        <v>247</v>
      </c>
      <c r="C1031" s="303" t="s">
        <v>738</v>
      </c>
      <c r="D1031" s="304" t="s">
        <v>98</v>
      </c>
      <c r="E1031" s="694" t="s">
        <v>321</v>
      </c>
      <c r="F1031" s="303" t="s">
        <v>221</v>
      </c>
      <c r="G1031" s="303" t="s">
        <v>221</v>
      </c>
      <c r="H1031" s="303" t="s">
        <v>734</v>
      </c>
      <c r="I1031" s="582" t="str">
        <f>VLOOKUP(H1031,'9a-Typen vloeren'!$A$10:$B$40,2,FALSE)</f>
        <v>Schrobben</v>
      </c>
      <c r="J1031" s="433">
        <v>57</v>
      </c>
      <c r="K1031" s="433">
        <f t="shared" si="83"/>
        <v>0</v>
      </c>
      <c r="L1031" s="433">
        <f t="shared" si="84"/>
        <v>57</v>
      </c>
      <c r="M1031" s="433">
        <f t="shared" si="85"/>
        <v>0</v>
      </c>
      <c r="N1031" s="672"/>
      <c r="O1031" s="729">
        <f>IF(N1031="",0,N1031*K1031/'9b-Vloeronderhoud'!$F$4)</f>
        <v>0</v>
      </c>
      <c r="P1031" s="672"/>
      <c r="Q1031" s="729" t="e">
        <f>IF(O1031="",0,P1031*L1031/'9b-Vloeronderhoud'!$F$6)</f>
        <v>#DIV/0!</v>
      </c>
      <c r="R1031" s="449">
        <v>1</v>
      </c>
      <c r="S1031" s="672">
        <v>80</v>
      </c>
      <c r="T1031" s="161" t="e">
        <f t="shared" si="81"/>
        <v>#DIV/0!</v>
      </c>
      <c r="U1031" s="162">
        <f>IF(S1031="nio",0,IF(S1031&gt;0,VLOOKUP(G1031,'3-Productie normen'!A:K,VLOOKUP(S1031,'3-Productie normen'!L:N,3,FALSE),FALSE)))</f>
        <v>0</v>
      </c>
      <c r="V1031" s="162">
        <f>VLOOKUP(G1031,'3-Productie normen'!A:K,10,FALSE)</f>
        <v>16013.110036668773</v>
      </c>
      <c r="W1031" s="163">
        <f>VLOOKUP(G1031,'3-Productie normen'!A:K,11,FALSE)</f>
        <v>0</v>
      </c>
      <c r="X1031" s="163"/>
      <c r="Z1031" s="129">
        <f t="shared" si="82"/>
        <v>4560</v>
      </c>
    </row>
    <row r="1032" spans="1:26" ht="14.1" customHeight="1">
      <c r="A1032" s="144">
        <v>1070</v>
      </c>
      <c r="B1032" s="485" t="s">
        <v>247</v>
      </c>
      <c r="C1032" s="303" t="s">
        <v>738</v>
      </c>
      <c r="D1032" s="304" t="s">
        <v>98</v>
      </c>
      <c r="E1032" s="694" t="s">
        <v>323</v>
      </c>
      <c r="F1032" s="303" t="s">
        <v>346</v>
      </c>
      <c r="G1032" s="460" t="s">
        <v>881</v>
      </c>
      <c r="H1032" s="303" t="s">
        <v>375</v>
      </c>
      <c r="I1032" s="582" t="str">
        <f>VLOOKUP(H1032,'9a-Typen vloeren'!$A$10:$B$40,2,FALSE)</f>
        <v>n.v.t.</v>
      </c>
      <c r="J1032" s="433">
        <v>3</v>
      </c>
      <c r="K1032" s="433">
        <f t="shared" si="83"/>
        <v>0</v>
      </c>
      <c r="L1032" s="433">
        <f t="shared" si="84"/>
        <v>0</v>
      </c>
      <c r="M1032" s="433">
        <f t="shared" si="85"/>
        <v>0</v>
      </c>
      <c r="N1032" s="672"/>
      <c r="O1032" s="729">
        <f>IF(N1032="",0,N1032*K1032/'9b-Vloeronderhoud'!$F$4)</f>
        <v>0</v>
      </c>
      <c r="P1032" s="672"/>
      <c r="Q1032" s="729" t="e">
        <f>IF(O1032="",0,P1032*L1032/'9b-Vloeronderhoud'!$F$6)</f>
        <v>#DIV/0!</v>
      </c>
      <c r="R1032" s="449">
        <v>1</v>
      </c>
      <c r="S1032" s="672" t="s">
        <v>179</v>
      </c>
      <c r="T1032" s="161">
        <f t="shared" si="81"/>
        <v>0</v>
      </c>
      <c r="U1032" s="162">
        <f>IF(S1032="nio",0,IF(S1032&gt;0,VLOOKUP(G1032,'3-Productie normen'!A:K,VLOOKUP(S1032,'3-Productie normen'!L:N,3,FALSE),FALSE)))</f>
        <v>0</v>
      </c>
      <c r="V1032" s="162">
        <f>VLOOKUP(G1032,'3-Productie normen'!A:K,10,FALSE)</f>
        <v>5262.809993648526</v>
      </c>
      <c r="W1032" s="163">
        <f>VLOOKUP(G1032,'3-Productie normen'!A:K,11,FALSE)</f>
        <v>0</v>
      </c>
      <c r="X1032" s="163"/>
      <c r="Z1032" s="129">
        <f t="shared" si="82"/>
        <v>0</v>
      </c>
    </row>
    <row r="1033" spans="1:26" ht="14.1" customHeight="1">
      <c r="A1033" s="144">
        <v>1071</v>
      </c>
      <c r="B1033" s="485" t="s">
        <v>247</v>
      </c>
      <c r="C1033" s="303" t="s">
        <v>738</v>
      </c>
      <c r="D1033" s="304" t="s">
        <v>98</v>
      </c>
      <c r="E1033" s="694" t="s">
        <v>325</v>
      </c>
      <c r="F1033" s="303" t="s">
        <v>282</v>
      </c>
      <c r="G1033" s="460" t="s">
        <v>881</v>
      </c>
      <c r="H1033" s="303" t="s">
        <v>100</v>
      </c>
      <c r="I1033" s="582" t="str">
        <f>VLOOKUP(H1033,'9a-Typen vloeren'!$A$10:$B$40,2,FALSE)</f>
        <v>Sprayen/ conserveren</v>
      </c>
      <c r="J1033" s="433">
        <v>6</v>
      </c>
      <c r="K1033" s="433">
        <f t="shared" si="83"/>
        <v>0</v>
      </c>
      <c r="L1033" s="433">
        <f t="shared" si="84"/>
        <v>0</v>
      </c>
      <c r="M1033" s="433">
        <f t="shared" si="85"/>
        <v>0</v>
      </c>
      <c r="N1033" s="672"/>
      <c r="O1033" s="729">
        <f>IF(N1033="",0,N1033*K1033/'9b-Vloeronderhoud'!$F$4)</f>
        <v>0</v>
      </c>
      <c r="P1033" s="672"/>
      <c r="Q1033" s="729" t="e">
        <f>IF(O1033="",0,P1033*L1033/'9b-Vloeronderhoud'!$F$6)</f>
        <v>#DIV/0!</v>
      </c>
      <c r="R1033" s="449">
        <v>1</v>
      </c>
      <c r="S1033" s="672" t="s">
        <v>179</v>
      </c>
      <c r="T1033" s="161">
        <f t="shared" si="81"/>
        <v>0</v>
      </c>
      <c r="U1033" s="162">
        <f>IF(S1033="nio",0,IF(S1033&gt;0,VLOOKUP(G1033,'3-Productie normen'!A:K,VLOOKUP(S1033,'3-Productie normen'!L:N,3,FALSE),FALSE)))</f>
        <v>0</v>
      </c>
      <c r="V1033" s="162">
        <f>VLOOKUP(G1033,'3-Productie normen'!A:K,10,FALSE)</f>
        <v>5262.809993648526</v>
      </c>
      <c r="W1033" s="163">
        <f>VLOOKUP(G1033,'3-Productie normen'!A:K,11,FALSE)</f>
        <v>0</v>
      </c>
      <c r="X1033" s="163"/>
      <c r="Z1033" s="129">
        <f t="shared" si="82"/>
        <v>0</v>
      </c>
    </row>
    <row r="1034" spans="1:26" ht="14.1" customHeight="1">
      <c r="A1034" s="144">
        <v>1072</v>
      </c>
      <c r="B1034" s="485" t="s">
        <v>247</v>
      </c>
      <c r="C1034" s="303" t="s">
        <v>738</v>
      </c>
      <c r="D1034" s="304" t="s">
        <v>98</v>
      </c>
      <c r="E1034" s="694" t="s">
        <v>326</v>
      </c>
      <c r="F1034" s="303" t="s">
        <v>290</v>
      </c>
      <c r="G1034" s="303" t="s">
        <v>190</v>
      </c>
      <c r="H1034" s="303" t="s">
        <v>734</v>
      </c>
      <c r="I1034" s="582" t="str">
        <f>VLOOKUP(H1034,'9a-Typen vloeren'!$A$10:$B$40,2,FALSE)</f>
        <v>Schrobben</v>
      </c>
      <c r="J1034" s="433">
        <v>5.3000001907348633</v>
      </c>
      <c r="K1034" s="433">
        <f t="shared" si="83"/>
        <v>0</v>
      </c>
      <c r="L1034" s="433">
        <f t="shared" si="84"/>
        <v>5.3000001907348633</v>
      </c>
      <c r="M1034" s="433">
        <f t="shared" si="85"/>
        <v>0</v>
      </c>
      <c r="N1034" s="672"/>
      <c r="O1034" s="729">
        <f>IF(N1034="",0,N1034*K1034/'9b-Vloeronderhoud'!$F$4)</f>
        <v>0</v>
      </c>
      <c r="P1034" s="672">
        <v>3</v>
      </c>
      <c r="Q1034" s="729" t="e">
        <f>IF(O1034="",0,P1034*L1034/'9b-Vloeronderhoud'!$F$6)</f>
        <v>#DIV/0!</v>
      </c>
      <c r="R1034" s="449">
        <v>1</v>
      </c>
      <c r="S1034" s="672">
        <v>40</v>
      </c>
      <c r="T1034" s="161" t="e">
        <f t="shared" ref="T1034:T1097" si="86">IF(S1034="nio",0,IF(S1034&gt;0,S1034*J1034/U1034,0))*R1034</f>
        <v>#DIV/0!</v>
      </c>
      <c r="U1034" s="162">
        <f>IF(S1034="nio",0,IF(S1034&gt;0,VLOOKUP(G1034,'3-Productie normen'!A:K,VLOOKUP(S1034,'3-Productie normen'!L:N,3,FALSE),FALSE)))</f>
        <v>0</v>
      </c>
      <c r="V1034" s="162">
        <f>VLOOKUP(G1034,'3-Productie normen'!A:K,10,FALSE)</f>
        <v>281.65000052452086</v>
      </c>
      <c r="W1034" s="163">
        <f>VLOOKUP(G1034,'3-Productie normen'!A:K,11,FALSE)</f>
        <v>0</v>
      </c>
      <c r="X1034" s="163"/>
      <c r="Z1034" s="129">
        <f t="shared" ref="Z1034:Z1097" si="87">SUM(S1034:S1034)*J1034</f>
        <v>212.00000762939453</v>
      </c>
    </row>
    <row r="1035" spans="1:26" ht="14.1" customHeight="1">
      <c r="A1035" s="144">
        <v>1073</v>
      </c>
      <c r="B1035" s="485" t="s">
        <v>247</v>
      </c>
      <c r="C1035" s="303" t="s">
        <v>738</v>
      </c>
      <c r="D1035" s="304" t="s">
        <v>98</v>
      </c>
      <c r="E1035" s="694" t="s">
        <v>328</v>
      </c>
      <c r="F1035" s="303" t="s">
        <v>652</v>
      </c>
      <c r="G1035" s="460" t="s">
        <v>286</v>
      </c>
      <c r="H1035" s="303" t="s">
        <v>332</v>
      </c>
      <c r="I1035" s="582" t="str">
        <f>VLOOKUP(H1035,'9a-Typen vloeren'!$A$10:$B$40,2,FALSE)</f>
        <v>Sproei/extraheren</v>
      </c>
      <c r="J1035" s="433">
        <v>3.1500000953674316</v>
      </c>
      <c r="K1035" s="433">
        <f t="shared" si="83"/>
        <v>0</v>
      </c>
      <c r="L1035" s="433">
        <f t="shared" si="84"/>
        <v>0</v>
      </c>
      <c r="M1035" s="433">
        <f t="shared" si="85"/>
        <v>3.1500000953674316</v>
      </c>
      <c r="N1035" s="672"/>
      <c r="O1035" s="729">
        <f>IF(N1035="",0,N1035*K1035/'9b-Vloeronderhoud'!$F$4)</f>
        <v>0</v>
      </c>
      <c r="P1035" s="672"/>
      <c r="Q1035" s="729" t="e">
        <f>IF(O1035="",0,P1035*L1035/'9b-Vloeronderhoud'!$F$6)</f>
        <v>#DIV/0!</v>
      </c>
      <c r="R1035" s="449">
        <v>1</v>
      </c>
      <c r="S1035" s="672">
        <v>120</v>
      </c>
      <c r="T1035" s="161" t="e">
        <f t="shared" si="86"/>
        <v>#DIV/0!</v>
      </c>
      <c r="U1035" s="162">
        <f>IF(S1035="nio",0,IF(S1035&gt;0,VLOOKUP(G1035,'3-Productie normen'!A:K,VLOOKUP(S1035,'3-Productie normen'!L:N,3,FALSE),FALSE)))</f>
        <v>0</v>
      </c>
      <c r="V1035" s="162">
        <f>VLOOKUP(G1035,'3-Productie normen'!A:K,10,FALSE)</f>
        <v>6152.9500017547598</v>
      </c>
      <c r="W1035" s="163">
        <f>VLOOKUP(G1035,'3-Productie normen'!A:K,11,FALSE)</f>
        <v>0</v>
      </c>
      <c r="X1035" s="163"/>
      <c r="Z1035" s="129">
        <f t="shared" si="87"/>
        <v>378.0000114440918</v>
      </c>
    </row>
    <row r="1036" spans="1:26" ht="14.1" customHeight="1">
      <c r="A1036" s="144">
        <v>1074</v>
      </c>
      <c r="B1036" s="485" t="s">
        <v>247</v>
      </c>
      <c r="C1036" s="303" t="s">
        <v>738</v>
      </c>
      <c r="D1036" s="304" t="s">
        <v>98</v>
      </c>
      <c r="E1036" s="694" t="s">
        <v>329</v>
      </c>
      <c r="F1036" s="303" t="s">
        <v>302</v>
      </c>
      <c r="G1036" s="460" t="s">
        <v>18</v>
      </c>
      <c r="H1036" s="303" t="s">
        <v>955</v>
      </c>
      <c r="I1036" s="582" t="str">
        <f>VLOOKUP(H1036,'9a-Typen vloeren'!$A$10:$B$40,2,FALSE)</f>
        <v>zie kwaliteitsontwerp</v>
      </c>
      <c r="J1036" s="433">
        <v>2.5</v>
      </c>
      <c r="K1036" s="433">
        <f t="shared" si="83"/>
        <v>0</v>
      </c>
      <c r="L1036" s="433">
        <f t="shared" si="84"/>
        <v>0</v>
      </c>
      <c r="M1036" s="433">
        <f t="shared" si="85"/>
        <v>0</v>
      </c>
      <c r="N1036" s="672"/>
      <c r="O1036" s="729">
        <f>IF(N1036="",0,N1036*K1036/'9b-Vloeronderhoud'!$F$4)</f>
        <v>0</v>
      </c>
      <c r="P1036" s="672"/>
      <c r="Q1036" s="729" t="e">
        <f>IF(O1036="",0,P1036*L1036/'9b-Vloeronderhoud'!$F$6)</f>
        <v>#DIV/0!</v>
      </c>
      <c r="R1036" s="449">
        <v>1</v>
      </c>
      <c r="S1036" s="672">
        <v>190</v>
      </c>
      <c r="T1036" s="161" t="e">
        <f t="shared" si="86"/>
        <v>#DIV/0!</v>
      </c>
      <c r="U1036" s="162">
        <f>IF(S1036="nio",0,IF(S1036&gt;0,VLOOKUP(G1036,'3-Productie normen'!A:K,VLOOKUP(S1036,'3-Productie normen'!L:N,3,FALSE),FALSE)))</f>
        <v>0</v>
      </c>
      <c r="V1036" s="162">
        <f>VLOOKUP(G1036,'3-Productie normen'!A:K,10,FALSE)</f>
        <v>1859.5880019121171</v>
      </c>
      <c r="W1036" s="163">
        <f>VLOOKUP(G1036,'3-Productie normen'!A:K,11,FALSE)</f>
        <v>0</v>
      </c>
      <c r="X1036" s="163"/>
      <c r="Z1036" s="129">
        <f t="shared" si="87"/>
        <v>475</v>
      </c>
    </row>
    <row r="1037" spans="1:26" ht="14.1" customHeight="1">
      <c r="A1037" s="144">
        <v>1075</v>
      </c>
      <c r="B1037" s="485" t="s">
        <v>247</v>
      </c>
      <c r="C1037" s="303" t="s">
        <v>738</v>
      </c>
      <c r="D1037" s="304" t="s">
        <v>98</v>
      </c>
      <c r="E1037" s="694" t="s">
        <v>330</v>
      </c>
      <c r="F1037" s="303" t="s">
        <v>282</v>
      </c>
      <c r="G1037" s="460" t="s">
        <v>881</v>
      </c>
      <c r="H1037" s="303" t="s">
        <v>100</v>
      </c>
      <c r="I1037" s="582" t="str">
        <f>VLOOKUP(H1037,'9a-Typen vloeren'!$A$10:$B$40,2,FALSE)</f>
        <v>Sprayen/ conserveren</v>
      </c>
      <c r="J1037" s="433">
        <v>12</v>
      </c>
      <c r="K1037" s="433">
        <f t="shared" si="83"/>
        <v>0</v>
      </c>
      <c r="L1037" s="433">
        <f t="shared" si="84"/>
        <v>0</v>
      </c>
      <c r="M1037" s="433">
        <f t="shared" si="85"/>
        <v>0</v>
      </c>
      <c r="N1037" s="672"/>
      <c r="O1037" s="729">
        <f>IF(N1037="",0,N1037*K1037/'9b-Vloeronderhoud'!$F$4)</f>
        <v>0</v>
      </c>
      <c r="P1037" s="672"/>
      <c r="Q1037" s="729" t="e">
        <f>IF(O1037="",0,P1037*L1037/'9b-Vloeronderhoud'!$F$6)</f>
        <v>#DIV/0!</v>
      </c>
      <c r="R1037" s="449">
        <v>1</v>
      </c>
      <c r="S1037" s="672" t="s">
        <v>179</v>
      </c>
      <c r="T1037" s="161">
        <f t="shared" si="86"/>
        <v>0</v>
      </c>
      <c r="U1037" s="162">
        <f>IF(S1037="nio",0,IF(S1037&gt;0,VLOOKUP(G1037,'3-Productie normen'!A:K,VLOOKUP(S1037,'3-Productie normen'!L:N,3,FALSE),FALSE)))</f>
        <v>0</v>
      </c>
      <c r="V1037" s="162">
        <f>VLOOKUP(G1037,'3-Productie normen'!A:K,10,FALSE)</f>
        <v>5262.809993648526</v>
      </c>
      <c r="W1037" s="163">
        <f>VLOOKUP(G1037,'3-Productie normen'!A:K,11,FALSE)</f>
        <v>0</v>
      </c>
      <c r="X1037" s="163"/>
      <c r="Z1037" s="129">
        <f t="shared" si="87"/>
        <v>0</v>
      </c>
    </row>
    <row r="1038" spans="1:26" ht="14.1" customHeight="1">
      <c r="A1038" s="144">
        <v>1076</v>
      </c>
      <c r="B1038" s="485" t="s">
        <v>256</v>
      </c>
      <c r="C1038" s="303" t="s">
        <v>804</v>
      </c>
      <c r="D1038" s="304" t="s">
        <v>98</v>
      </c>
      <c r="E1038" s="694" t="s">
        <v>416</v>
      </c>
      <c r="F1038" s="303" t="s">
        <v>99</v>
      </c>
      <c r="G1038" s="303" t="s">
        <v>99</v>
      </c>
      <c r="H1038" s="303" t="s">
        <v>802</v>
      </c>
      <c r="I1038" s="582" t="str">
        <f>VLOOKUP(H1038,'9a-Typen vloeren'!$A$10:$B$40,2,FALSE)</f>
        <v>n.v.t.</v>
      </c>
      <c r="J1038" s="433">
        <v>12.5</v>
      </c>
      <c r="K1038" s="433">
        <f t="shared" si="83"/>
        <v>0</v>
      </c>
      <c r="L1038" s="433">
        <f t="shared" si="84"/>
        <v>0</v>
      </c>
      <c r="M1038" s="433">
        <f t="shared" si="85"/>
        <v>0</v>
      </c>
      <c r="N1038" s="672"/>
      <c r="O1038" s="729">
        <f>IF(N1038="",0,N1038*K1038/'9b-Vloeronderhoud'!$F$4)</f>
        <v>0</v>
      </c>
      <c r="P1038" s="672"/>
      <c r="Q1038" s="729" t="e">
        <f>IF(O1038="",0,P1038*L1038/'9b-Vloeronderhoud'!$F$6)</f>
        <v>#DIV/0!</v>
      </c>
      <c r="R1038" s="449">
        <v>1</v>
      </c>
      <c r="S1038" s="672">
        <v>190</v>
      </c>
      <c r="T1038" s="161" t="e">
        <f t="shared" si="86"/>
        <v>#DIV/0!</v>
      </c>
      <c r="U1038" s="162">
        <f>IF(S1038="nio",0,IF(S1038&gt;0,VLOOKUP(G1038,'3-Productie normen'!A:K,VLOOKUP(S1038,'3-Productie normen'!L:N,3,FALSE),FALSE)))</f>
        <v>0</v>
      </c>
      <c r="V1038" s="162">
        <f>VLOOKUP(G1038,'3-Productie normen'!A:K,10,FALSE)</f>
        <v>726.97999910354622</v>
      </c>
      <c r="W1038" s="163">
        <f>VLOOKUP(G1038,'3-Productie normen'!A:K,11,FALSE)</f>
        <v>0</v>
      </c>
      <c r="X1038" s="163"/>
      <c r="Z1038" s="129">
        <f t="shared" si="87"/>
        <v>2375</v>
      </c>
    </row>
    <row r="1039" spans="1:26" ht="14.1" customHeight="1">
      <c r="A1039" s="144">
        <v>1077</v>
      </c>
      <c r="B1039" s="485" t="s">
        <v>256</v>
      </c>
      <c r="C1039" s="303" t="s">
        <v>804</v>
      </c>
      <c r="D1039" s="304" t="s">
        <v>98</v>
      </c>
      <c r="E1039" s="694" t="s">
        <v>727</v>
      </c>
      <c r="F1039" s="303" t="s">
        <v>221</v>
      </c>
      <c r="G1039" s="303" t="s">
        <v>221</v>
      </c>
      <c r="H1039" s="303" t="s">
        <v>100</v>
      </c>
      <c r="I1039" s="582" t="str">
        <f>VLOOKUP(H1039,'9a-Typen vloeren'!$A$10:$B$40,2,FALSE)</f>
        <v>Sprayen/ conserveren</v>
      </c>
      <c r="J1039" s="433">
        <v>59.400001525878906</v>
      </c>
      <c r="K1039" s="433">
        <f t="shared" si="83"/>
        <v>59.400001525878906</v>
      </c>
      <c r="L1039" s="433">
        <f t="shared" si="84"/>
        <v>0</v>
      </c>
      <c r="M1039" s="433">
        <f t="shared" si="85"/>
        <v>0</v>
      </c>
      <c r="N1039" s="672"/>
      <c r="O1039" s="729">
        <f>IF(N1039="",0,N1039*K1039/'9b-Vloeronderhoud'!$F$4)</f>
        <v>0</v>
      </c>
      <c r="P1039" s="672"/>
      <c r="Q1039" s="729" t="e">
        <f>IF(O1039="",0,P1039*L1039/'9b-Vloeronderhoud'!$F$6)</f>
        <v>#DIV/0!</v>
      </c>
      <c r="R1039" s="449">
        <v>1</v>
      </c>
      <c r="S1039" s="672">
        <v>80</v>
      </c>
      <c r="T1039" s="161" t="e">
        <f t="shared" si="86"/>
        <v>#DIV/0!</v>
      </c>
      <c r="U1039" s="162">
        <f>IF(S1039="nio",0,IF(S1039&gt;0,VLOOKUP(G1039,'3-Productie normen'!A:K,VLOOKUP(S1039,'3-Productie normen'!L:N,3,FALSE),FALSE)))</f>
        <v>0</v>
      </c>
      <c r="V1039" s="162">
        <f>VLOOKUP(G1039,'3-Productie normen'!A:K,10,FALSE)</f>
        <v>16013.110036668773</v>
      </c>
      <c r="W1039" s="163">
        <f>VLOOKUP(G1039,'3-Productie normen'!A:K,11,FALSE)</f>
        <v>0</v>
      </c>
      <c r="X1039" s="163"/>
      <c r="Z1039" s="129">
        <f t="shared" si="87"/>
        <v>4752.0001220703125</v>
      </c>
    </row>
    <row r="1040" spans="1:26" ht="14.1" customHeight="1">
      <c r="A1040" s="144">
        <v>1078</v>
      </c>
      <c r="B1040" s="485" t="s">
        <v>256</v>
      </c>
      <c r="C1040" s="303" t="s">
        <v>804</v>
      </c>
      <c r="D1040" s="304" t="s">
        <v>98</v>
      </c>
      <c r="E1040" s="694" t="s">
        <v>727</v>
      </c>
      <c r="F1040" s="303" t="s">
        <v>221</v>
      </c>
      <c r="G1040" s="122" t="s">
        <v>221</v>
      </c>
      <c r="H1040" s="303" t="s">
        <v>101</v>
      </c>
      <c r="I1040" s="582" t="str">
        <f>VLOOKUP(H1040,'9a-Typen vloeren'!$A$10:$B$40,2,FALSE)</f>
        <v>Schrobben</v>
      </c>
      <c r="J1040" s="433">
        <v>6.3000001907348633</v>
      </c>
      <c r="K1040" s="433">
        <f t="shared" si="83"/>
        <v>0</v>
      </c>
      <c r="L1040" s="433">
        <f t="shared" si="84"/>
        <v>6.3000001907348633</v>
      </c>
      <c r="M1040" s="433">
        <f t="shared" si="85"/>
        <v>0</v>
      </c>
      <c r="N1040" s="672"/>
      <c r="O1040" s="729">
        <f>IF(N1040="",0,N1040*K1040/'9b-Vloeronderhoud'!$F$4)</f>
        <v>0</v>
      </c>
      <c r="P1040" s="672"/>
      <c r="Q1040" s="729" t="e">
        <f>IF(O1040="",0,P1040*L1040/'9b-Vloeronderhoud'!$F$6)</f>
        <v>#DIV/0!</v>
      </c>
      <c r="R1040" s="449">
        <v>1</v>
      </c>
      <c r="S1040" s="672">
        <v>80</v>
      </c>
      <c r="T1040" s="161" t="e">
        <f t="shared" si="86"/>
        <v>#DIV/0!</v>
      </c>
      <c r="U1040" s="162">
        <f>IF(S1040="nio",0,IF(S1040&gt;0,VLOOKUP(G1040,'3-Productie normen'!A:K,VLOOKUP(S1040,'3-Productie normen'!L:N,3,FALSE),FALSE)))</f>
        <v>0</v>
      </c>
      <c r="V1040" s="162">
        <f>VLOOKUP(G1040,'3-Productie normen'!A:K,10,FALSE)</f>
        <v>16013.110036668773</v>
      </c>
      <c r="W1040" s="163">
        <f>VLOOKUP(G1040,'3-Productie normen'!A:K,11,FALSE)</f>
        <v>0</v>
      </c>
      <c r="X1040" s="163"/>
      <c r="Z1040" s="129">
        <f t="shared" si="87"/>
        <v>504.00001525878906</v>
      </c>
    </row>
    <row r="1041" spans="1:26" ht="14.1" customHeight="1">
      <c r="A1041" s="144">
        <v>1079</v>
      </c>
      <c r="B1041" s="485" t="s">
        <v>256</v>
      </c>
      <c r="C1041" s="303" t="s">
        <v>804</v>
      </c>
      <c r="D1041" s="304" t="s">
        <v>98</v>
      </c>
      <c r="E1041" s="694" t="s">
        <v>786</v>
      </c>
      <c r="F1041" s="303" t="s">
        <v>302</v>
      </c>
      <c r="G1041" s="303" t="s">
        <v>18</v>
      </c>
      <c r="H1041" s="534" t="s">
        <v>954</v>
      </c>
      <c r="I1041" s="582" t="str">
        <f>VLOOKUP(H1041,'9a-Typen vloeren'!$A$10:$B$40,2,FALSE)</f>
        <v>zie kwaliteitsontwerp</v>
      </c>
      <c r="J1041" s="433">
        <v>5.1999998092651367</v>
      </c>
      <c r="K1041" s="433">
        <f t="shared" si="83"/>
        <v>0</v>
      </c>
      <c r="L1041" s="433">
        <f t="shared" si="84"/>
        <v>0</v>
      </c>
      <c r="M1041" s="433">
        <f t="shared" si="85"/>
        <v>0</v>
      </c>
      <c r="N1041" s="672"/>
      <c r="O1041" s="729">
        <f>IF(N1041="",0,N1041*K1041/'9b-Vloeronderhoud'!$F$4)</f>
        <v>0</v>
      </c>
      <c r="P1041" s="672"/>
      <c r="Q1041" s="729" t="e">
        <f>IF(O1041="",0,P1041*L1041/'9b-Vloeronderhoud'!$F$6)</f>
        <v>#DIV/0!</v>
      </c>
      <c r="R1041" s="449">
        <v>1</v>
      </c>
      <c r="S1041" s="672">
        <v>190</v>
      </c>
      <c r="T1041" s="161" t="e">
        <f t="shared" si="86"/>
        <v>#DIV/0!</v>
      </c>
      <c r="U1041" s="162">
        <f>IF(S1041="nio",0,IF(S1041&gt;0,VLOOKUP(G1041,'3-Productie normen'!A:K,VLOOKUP(S1041,'3-Productie normen'!L:N,3,FALSE),FALSE)))</f>
        <v>0</v>
      </c>
      <c r="V1041" s="162">
        <f>VLOOKUP(G1041,'3-Productie normen'!A:K,10,FALSE)</f>
        <v>1859.5880019121171</v>
      </c>
      <c r="W1041" s="163">
        <f>VLOOKUP(G1041,'3-Productie normen'!A:K,11,FALSE)</f>
        <v>0</v>
      </c>
      <c r="X1041" s="163"/>
      <c r="Z1041" s="129">
        <f t="shared" si="87"/>
        <v>987.99996376037598</v>
      </c>
    </row>
    <row r="1042" spans="1:26" ht="14.1" customHeight="1">
      <c r="A1042" s="144">
        <v>1080</v>
      </c>
      <c r="B1042" s="485" t="s">
        <v>256</v>
      </c>
      <c r="C1042" s="303" t="s">
        <v>804</v>
      </c>
      <c r="D1042" s="304" t="s">
        <v>98</v>
      </c>
      <c r="E1042" s="694" t="s">
        <v>787</v>
      </c>
      <c r="F1042" s="303" t="s">
        <v>282</v>
      </c>
      <c r="G1042" s="460" t="s">
        <v>881</v>
      </c>
      <c r="H1042" s="303" t="s">
        <v>100</v>
      </c>
      <c r="I1042" s="582" t="str">
        <f>VLOOKUP(H1042,'9a-Typen vloeren'!$A$10:$B$40,2,FALSE)</f>
        <v>Sprayen/ conserveren</v>
      </c>
      <c r="J1042" s="433">
        <v>6.0999999046325684</v>
      </c>
      <c r="K1042" s="433">
        <f t="shared" si="83"/>
        <v>0</v>
      </c>
      <c r="L1042" s="433">
        <f t="shared" si="84"/>
        <v>0</v>
      </c>
      <c r="M1042" s="433">
        <f t="shared" si="85"/>
        <v>0</v>
      </c>
      <c r="N1042" s="672"/>
      <c r="O1042" s="729">
        <f>IF(N1042="",0,N1042*K1042/'9b-Vloeronderhoud'!$F$4)</f>
        <v>0</v>
      </c>
      <c r="P1042" s="672"/>
      <c r="Q1042" s="729" t="e">
        <f>IF(O1042="",0,P1042*L1042/'9b-Vloeronderhoud'!$F$6)</f>
        <v>#DIV/0!</v>
      </c>
      <c r="R1042" s="449">
        <v>1</v>
      </c>
      <c r="S1042" s="672" t="s">
        <v>179</v>
      </c>
      <c r="T1042" s="161">
        <f t="shared" si="86"/>
        <v>0</v>
      </c>
      <c r="U1042" s="162">
        <f>IF(S1042="nio",0,IF(S1042&gt;0,VLOOKUP(G1042,'3-Productie normen'!A:K,VLOOKUP(S1042,'3-Productie normen'!L:N,3,FALSE),FALSE)))</f>
        <v>0</v>
      </c>
      <c r="V1042" s="162">
        <f>VLOOKUP(G1042,'3-Productie normen'!A:K,10,FALSE)</f>
        <v>5262.809993648526</v>
      </c>
      <c r="W1042" s="163">
        <f>VLOOKUP(G1042,'3-Productie normen'!A:K,11,FALSE)</f>
        <v>0</v>
      </c>
      <c r="X1042" s="163"/>
      <c r="Z1042" s="129">
        <f t="shared" si="87"/>
        <v>0</v>
      </c>
    </row>
    <row r="1043" spans="1:26" ht="14.1" customHeight="1">
      <c r="A1043" s="144">
        <v>1081</v>
      </c>
      <c r="B1043" s="485" t="s">
        <v>256</v>
      </c>
      <c r="C1043" s="303" t="s">
        <v>804</v>
      </c>
      <c r="D1043" s="304" t="s">
        <v>98</v>
      </c>
      <c r="E1043" s="694" t="s">
        <v>788</v>
      </c>
      <c r="F1043" s="303" t="s">
        <v>282</v>
      </c>
      <c r="G1043" s="460" t="s">
        <v>881</v>
      </c>
      <c r="H1043" s="303" t="s">
        <v>100</v>
      </c>
      <c r="I1043" s="582" t="str">
        <f>VLOOKUP(H1043,'9a-Typen vloeren'!$A$10:$B$40,2,FALSE)</f>
        <v>Sprayen/ conserveren</v>
      </c>
      <c r="J1043" s="433">
        <v>6.0999999046325684</v>
      </c>
      <c r="K1043" s="433">
        <f t="shared" si="83"/>
        <v>0</v>
      </c>
      <c r="L1043" s="433">
        <f t="shared" si="84"/>
        <v>0</v>
      </c>
      <c r="M1043" s="433">
        <f t="shared" si="85"/>
        <v>0</v>
      </c>
      <c r="N1043" s="672"/>
      <c r="O1043" s="729">
        <f>IF(N1043="",0,N1043*K1043/'9b-Vloeronderhoud'!$F$4)</f>
        <v>0</v>
      </c>
      <c r="P1043" s="672"/>
      <c r="Q1043" s="729" t="e">
        <f>IF(O1043="",0,P1043*L1043/'9b-Vloeronderhoud'!$F$6)</f>
        <v>#DIV/0!</v>
      </c>
      <c r="R1043" s="449">
        <v>1</v>
      </c>
      <c r="S1043" s="672" t="s">
        <v>179</v>
      </c>
      <c r="T1043" s="161">
        <f t="shared" si="86"/>
        <v>0</v>
      </c>
      <c r="U1043" s="162">
        <f>IF(S1043="nio",0,IF(S1043&gt;0,VLOOKUP(G1043,'3-Productie normen'!A:K,VLOOKUP(S1043,'3-Productie normen'!L:N,3,FALSE),FALSE)))</f>
        <v>0</v>
      </c>
      <c r="V1043" s="162">
        <f>VLOOKUP(G1043,'3-Productie normen'!A:K,10,FALSE)</f>
        <v>5262.809993648526</v>
      </c>
      <c r="W1043" s="163">
        <f>VLOOKUP(G1043,'3-Productie normen'!A:K,11,FALSE)</f>
        <v>0</v>
      </c>
      <c r="X1043" s="163"/>
      <c r="Z1043" s="129">
        <f t="shared" si="87"/>
        <v>0</v>
      </c>
    </row>
    <row r="1044" spans="1:26" ht="14.1" customHeight="1">
      <c r="A1044" s="144">
        <v>1082</v>
      </c>
      <c r="B1044" s="485" t="s">
        <v>256</v>
      </c>
      <c r="C1044" s="303" t="s">
        <v>804</v>
      </c>
      <c r="D1044" s="304" t="s">
        <v>98</v>
      </c>
      <c r="E1044" s="694" t="s">
        <v>311</v>
      </c>
      <c r="F1044" s="303" t="s">
        <v>347</v>
      </c>
      <c r="G1044" s="502" t="s">
        <v>347</v>
      </c>
      <c r="H1044" s="303" t="s">
        <v>100</v>
      </c>
      <c r="I1044" s="582" t="str">
        <f>VLOOKUP(H1044,'9a-Typen vloeren'!$A$10:$B$40,2,FALSE)</f>
        <v>Sprayen/ conserveren</v>
      </c>
      <c r="J1044" s="433">
        <v>90.800003051757813</v>
      </c>
      <c r="K1044" s="433">
        <f t="shared" si="83"/>
        <v>90.800003051757813</v>
      </c>
      <c r="L1044" s="433">
        <f t="shared" si="84"/>
        <v>0</v>
      </c>
      <c r="M1044" s="433">
        <f t="shared" si="85"/>
        <v>0</v>
      </c>
      <c r="N1044" s="672"/>
      <c r="O1044" s="729">
        <f>IF(N1044="",0,N1044*K1044/'9b-Vloeronderhoud'!$F$4)</f>
        <v>0</v>
      </c>
      <c r="P1044" s="672"/>
      <c r="Q1044" s="729" t="e">
        <f>IF(O1044="",0,P1044*L1044/'9b-Vloeronderhoud'!$F$6)</f>
        <v>#DIV/0!</v>
      </c>
      <c r="R1044" s="449">
        <v>1</v>
      </c>
      <c r="S1044" s="672">
        <v>44</v>
      </c>
      <c r="T1044" s="161" t="e">
        <f t="shared" si="86"/>
        <v>#DIV/0!</v>
      </c>
      <c r="U1044" s="162">
        <f>IF(S1044="nio",0,IF(S1044&gt;0,VLOOKUP(G1044,'3-Productie normen'!A:K,VLOOKUP(S1044,'3-Productie normen'!L:N,3,FALSE),FALSE)))</f>
        <v>0</v>
      </c>
      <c r="V1044" s="162">
        <f>VLOOKUP(G1044,'3-Productie normen'!A:K,10,FALSE)</f>
        <v>1134.6299961853026</v>
      </c>
      <c r="W1044" s="163">
        <f>VLOOKUP(G1044,'3-Productie normen'!A:K,11,FALSE)</f>
        <v>0</v>
      </c>
      <c r="X1044" s="163"/>
      <c r="Z1044" s="129">
        <f t="shared" si="87"/>
        <v>3995.2001342773438</v>
      </c>
    </row>
    <row r="1045" spans="1:26" ht="14.1" customHeight="1">
      <c r="A1045" s="144">
        <v>1083</v>
      </c>
      <c r="B1045" s="485" t="s">
        <v>256</v>
      </c>
      <c r="C1045" s="303" t="s">
        <v>804</v>
      </c>
      <c r="D1045" s="304" t="s">
        <v>98</v>
      </c>
      <c r="E1045" s="694" t="s">
        <v>789</v>
      </c>
      <c r="F1045" s="303" t="s">
        <v>285</v>
      </c>
      <c r="G1045" s="303" t="s">
        <v>285</v>
      </c>
      <c r="H1045" s="303" t="s">
        <v>100</v>
      </c>
      <c r="I1045" s="582" t="str">
        <f>VLOOKUP(H1045,'9a-Typen vloeren'!$A$10:$B$40,2,FALSE)</f>
        <v>Sprayen/ conserveren</v>
      </c>
      <c r="J1045" s="433">
        <v>59.400001525878906</v>
      </c>
      <c r="K1045" s="433">
        <f t="shared" si="83"/>
        <v>59.400001525878906</v>
      </c>
      <c r="L1045" s="433">
        <f t="shared" si="84"/>
        <v>0</v>
      </c>
      <c r="M1045" s="433">
        <f t="shared" si="85"/>
        <v>0</v>
      </c>
      <c r="N1045" s="672"/>
      <c r="O1045" s="729">
        <f>IF(N1045="",0,N1045*K1045/'9b-Vloeronderhoud'!$F$4)</f>
        <v>0</v>
      </c>
      <c r="P1045" s="672"/>
      <c r="Q1045" s="729" t="e">
        <f>IF(O1045="",0,P1045*L1045/'9b-Vloeronderhoud'!$F$6)</f>
        <v>#DIV/0!</v>
      </c>
      <c r="R1045" s="449">
        <v>1</v>
      </c>
      <c r="S1045" s="672">
        <v>190</v>
      </c>
      <c r="T1045" s="161" t="e">
        <f t="shared" si="86"/>
        <v>#DIV/0!</v>
      </c>
      <c r="U1045" s="162">
        <f>IF(S1045="nio",0,IF(S1045&gt;0,VLOOKUP(G1045,'3-Productie normen'!A:K,VLOOKUP(S1045,'3-Productie normen'!L:N,3,FALSE),FALSE)))</f>
        <v>0</v>
      </c>
      <c r="V1045" s="162">
        <f>VLOOKUP(G1045,'3-Productie normen'!A:K,10,FALSE)</f>
        <v>3305.8200070953367</v>
      </c>
      <c r="W1045" s="163">
        <f>VLOOKUP(G1045,'3-Productie normen'!A:K,11,FALSE)</f>
        <v>0</v>
      </c>
      <c r="X1045" s="163"/>
      <c r="Z1045" s="129">
        <f t="shared" si="87"/>
        <v>11286.000289916992</v>
      </c>
    </row>
    <row r="1046" spans="1:26" ht="14.1" customHeight="1">
      <c r="A1046" s="144">
        <v>1084</v>
      </c>
      <c r="B1046" s="485" t="s">
        <v>256</v>
      </c>
      <c r="C1046" s="303" t="s">
        <v>804</v>
      </c>
      <c r="D1046" s="304" t="s">
        <v>98</v>
      </c>
      <c r="E1046" s="694" t="s">
        <v>789</v>
      </c>
      <c r="F1046" s="303" t="s">
        <v>285</v>
      </c>
      <c r="G1046" s="303" t="s">
        <v>285</v>
      </c>
      <c r="H1046" s="303" t="s">
        <v>101</v>
      </c>
      <c r="I1046" s="582" t="str">
        <f>VLOOKUP(H1046,'9a-Typen vloeren'!$A$10:$B$40,2,FALSE)</f>
        <v>Schrobben</v>
      </c>
      <c r="J1046" s="433">
        <v>6.3000001907348633</v>
      </c>
      <c r="K1046" s="433">
        <f t="shared" si="83"/>
        <v>0</v>
      </c>
      <c r="L1046" s="433">
        <f t="shared" si="84"/>
        <v>6.3000001907348633</v>
      </c>
      <c r="M1046" s="433">
        <f t="shared" si="85"/>
        <v>0</v>
      </c>
      <c r="N1046" s="672"/>
      <c r="O1046" s="729">
        <f>IF(N1046="",0,N1046*K1046/'9b-Vloeronderhoud'!$F$4)</f>
        <v>0</v>
      </c>
      <c r="P1046" s="672"/>
      <c r="Q1046" s="729" t="e">
        <f>IF(O1046="",0,P1046*L1046/'9b-Vloeronderhoud'!$F$6)</f>
        <v>#DIV/0!</v>
      </c>
      <c r="R1046" s="449">
        <v>1</v>
      </c>
      <c r="S1046" s="672">
        <v>190</v>
      </c>
      <c r="T1046" s="161" t="e">
        <f t="shared" si="86"/>
        <v>#DIV/0!</v>
      </c>
      <c r="U1046" s="162">
        <f>IF(S1046="nio",0,IF(S1046&gt;0,VLOOKUP(G1046,'3-Productie normen'!A:K,VLOOKUP(S1046,'3-Productie normen'!L:N,3,FALSE),FALSE)))</f>
        <v>0</v>
      </c>
      <c r="V1046" s="162">
        <f>VLOOKUP(G1046,'3-Productie normen'!A:K,10,FALSE)</f>
        <v>3305.8200070953367</v>
      </c>
      <c r="W1046" s="163">
        <f>VLOOKUP(G1046,'3-Productie normen'!A:K,11,FALSE)</f>
        <v>0</v>
      </c>
      <c r="X1046" s="163"/>
      <c r="Z1046" s="129">
        <f t="shared" si="87"/>
        <v>1197.000036239624</v>
      </c>
    </row>
    <row r="1047" spans="1:26" ht="14.1" customHeight="1">
      <c r="A1047" s="144">
        <v>1085</v>
      </c>
      <c r="B1047" s="485" t="s">
        <v>256</v>
      </c>
      <c r="C1047" s="303" t="s">
        <v>804</v>
      </c>
      <c r="D1047" s="304" t="s">
        <v>98</v>
      </c>
      <c r="E1047" s="694" t="s">
        <v>790</v>
      </c>
      <c r="F1047" s="303" t="s">
        <v>284</v>
      </c>
      <c r="G1047" s="122" t="s">
        <v>99</v>
      </c>
      <c r="H1047" s="303" t="s">
        <v>100</v>
      </c>
      <c r="I1047" s="582" t="str">
        <f>VLOOKUP(H1047,'9a-Typen vloeren'!$A$10:$B$40,2,FALSE)</f>
        <v>Sprayen/ conserveren</v>
      </c>
      <c r="J1047" s="433">
        <v>4</v>
      </c>
      <c r="K1047" s="433">
        <f t="shared" si="83"/>
        <v>4</v>
      </c>
      <c r="L1047" s="433">
        <f t="shared" si="84"/>
        <v>0</v>
      </c>
      <c r="M1047" s="433">
        <f t="shared" si="85"/>
        <v>0</v>
      </c>
      <c r="N1047" s="672">
        <v>2</v>
      </c>
      <c r="O1047" s="729" t="e">
        <f>IF(N1047="",0,N1047*K1047/'9b-Vloeronderhoud'!$F$4)</f>
        <v>#DIV/0!</v>
      </c>
      <c r="P1047" s="672"/>
      <c r="Q1047" s="729" t="e">
        <f>IF(O1047="",0,P1047*L1047/'9b-Vloeronderhoud'!$F$6)</f>
        <v>#DIV/0!</v>
      </c>
      <c r="R1047" s="449">
        <v>1</v>
      </c>
      <c r="S1047" s="672">
        <v>190</v>
      </c>
      <c r="T1047" s="161" t="e">
        <f t="shared" si="86"/>
        <v>#DIV/0!</v>
      </c>
      <c r="U1047" s="162">
        <f>IF(S1047="nio",0,IF(S1047&gt;0,VLOOKUP(G1047,'3-Productie normen'!A:K,VLOOKUP(S1047,'3-Productie normen'!L:N,3,FALSE),FALSE)))</f>
        <v>0</v>
      </c>
      <c r="V1047" s="162">
        <f>VLOOKUP(G1047,'3-Productie normen'!A:K,10,FALSE)</f>
        <v>726.97999910354622</v>
      </c>
      <c r="W1047" s="163">
        <f>VLOOKUP(G1047,'3-Productie normen'!A:K,11,FALSE)</f>
        <v>0</v>
      </c>
      <c r="X1047" s="163"/>
      <c r="Z1047" s="129">
        <f t="shared" si="87"/>
        <v>760</v>
      </c>
    </row>
    <row r="1048" spans="1:26" ht="14.1" customHeight="1">
      <c r="A1048" s="144">
        <v>1086</v>
      </c>
      <c r="B1048" s="485" t="s">
        <v>256</v>
      </c>
      <c r="C1048" s="303" t="s">
        <v>804</v>
      </c>
      <c r="D1048" s="304" t="s">
        <v>98</v>
      </c>
      <c r="E1048" s="694" t="s">
        <v>791</v>
      </c>
      <c r="F1048" s="303" t="s">
        <v>302</v>
      </c>
      <c r="G1048" s="303" t="s">
        <v>18</v>
      </c>
      <c r="H1048" s="534" t="s">
        <v>954</v>
      </c>
      <c r="I1048" s="582" t="str">
        <f>VLOOKUP(H1048,'9a-Typen vloeren'!$A$10:$B$40,2,FALSE)</f>
        <v>zie kwaliteitsontwerp</v>
      </c>
      <c r="J1048" s="433">
        <v>5.1999998092651367</v>
      </c>
      <c r="K1048" s="433">
        <f t="shared" si="83"/>
        <v>0</v>
      </c>
      <c r="L1048" s="433">
        <f t="shared" si="84"/>
        <v>0</v>
      </c>
      <c r="M1048" s="433">
        <f t="shared" si="85"/>
        <v>0</v>
      </c>
      <c r="N1048" s="672"/>
      <c r="O1048" s="729">
        <f>IF(N1048="",0,N1048*K1048/'9b-Vloeronderhoud'!$F$4)</f>
        <v>0</v>
      </c>
      <c r="P1048" s="672"/>
      <c r="Q1048" s="729" t="e">
        <f>IF(O1048="",0,P1048*L1048/'9b-Vloeronderhoud'!$F$6)</f>
        <v>#DIV/0!</v>
      </c>
      <c r="R1048" s="449">
        <v>1</v>
      </c>
      <c r="S1048" s="672">
        <v>190</v>
      </c>
      <c r="T1048" s="161" t="e">
        <f t="shared" si="86"/>
        <v>#DIV/0!</v>
      </c>
      <c r="U1048" s="162">
        <f>IF(S1048="nio",0,IF(S1048&gt;0,VLOOKUP(G1048,'3-Productie normen'!A:K,VLOOKUP(S1048,'3-Productie normen'!L:N,3,FALSE),FALSE)))</f>
        <v>0</v>
      </c>
      <c r="V1048" s="162">
        <f>VLOOKUP(G1048,'3-Productie normen'!A:K,10,FALSE)</f>
        <v>1859.5880019121171</v>
      </c>
      <c r="W1048" s="163">
        <f>VLOOKUP(G1048,'3-Productie normen'!A:K,11,FALSE)</f>
        <v>0</v>
      </c>
      <c r="X1048" s="163"/>
      <c r="Z1048" s="129">
        <f t="shared" si="87"/>
        <v>987.99996376037598</v>
      </c>
    </row>
    <row r="1049" spans="1:26" ht="14.1" customHeight="1">
      <c r="A1049" s="144">
        <v>1087</v>
      </c>
      <c r="B1049" s="485" t="s">
        <v>256</v>
      </c>
      <c r="C1049" s="303" t="s">
        <v>804</v>
      </c>
      <c r="D1049" s="304" t="s">
        <v>98</v>
      </c>
      <c r="E1049" s="694" t="s">
        <v>792</v>
      </c>
      <c r="F1049" s="303" t="s">
        <v>282</v>
      </c>
      <c r="G1049" s="460" t="s">
        <v>881</v>
      </c>
      <c r="H1049" s="303" t="s">
        <v>100</v>
      </c>
      <c r="I1049" s="582" t="str">
        <f>VLOOKUP(H1049,'9a-Typen vloeren'!$A$10:$B$40,2,FALSE)</f>
        <v>Sprayen/ conserveren</v>
      </c>
      <c r="J1049" s="433">
        <v>4</v>
      </c>
      <c r="K1049" s="433">
        <f t="shared" si="83"/>
        <v>0</v>
      </c>
      <c r="L1049" s="433">
        <f t="shared" si="84"/>
        <v>0</v>
      </c>
      <c r="M1049" s="433">
        <f t="shared" si="85"/>
        <v>0</v>
      </c>
      <c r="N1049" s="672"/>
      <c r="O1049" s="729">
        <f>IF(N1049="",0,N1049*K1049/'9b-Vloeronderhoud'!$F$4)</f>
        <v>0</v>
      </c>
      <c r="P1049" s="672"/>
      <c r="Q1049" s="729" t="e">
        <f>IF(O1049="",0,P1049*L1049/'9b-Vloeronderhoud'!$F$6)</f>
        <v>#DIV/0!</v>
      </c>
      <c r="R1049" s="449">
        <v>1</v>
      </c>
      <c r="S1049" s="672" t="s">
        <v>179</v>
      </c>
      <c r="T1049" s="161">
        <f t="shared" si="86"/>
        <v>0</v>
      </c>
      <c r="U1049" s="162">
        <f>IF(S1049="nio",0,IF(S1049&gt;0,VLOOKUP(G1049,'3-Productie normen'!A:K,VLOOKUP(S1049,'3-Productie normen'!L:N,3,FALSE),FALSE)))</f>
        <v>0</v>
      </c>
      <c r="V1049" s="162">
        <f>VLOOKUP(G1049,'3-Productie normen'!A:K,10,FALSE)</f>
        <v>5262.809993648526</v>
      </c>
      <c r="W1049" s="163">
        <f>VLOOKUP(G1049,'3-Productie normen'!A:K,11,FALSE)</f>
        <v>0</v>
      </c>
      <c r="X1049" s="163"/>
      <c r="Z1049" s="129">
        <f t="shared" si="87"/>
        <v>0</v>
      </c>
    </row>
    <row r="1050" spans="1:26" ht="14.1" customHeight="1">
      <c r="A1050" s="144">
        <v>1088</v>
      </c>
      <c r="B1050" s="485" t="s">
        <v>256</v>
      </c>
      <c r="C1050" s="303" t="s">
        <v>804</v>
      </c>
      <c r="D1050" s="304" t="s">
        <v>98</v>
      </c>
      <c r="E1050" s="694" t="s">
        <v>793</v>
      </c>
      <c r="F1050" s="303" t="s">
        <v>282</v>
      </c>
      <c r="G1050" s="460" t="s">
        <v>881</v>
      </c>
      <c r="H1050" s="303" t="s">
        <v>100</v>
      </c>
      <c r="I1050" s="582" t="str">
        <f>VLOOKUP(H1050,'9a-Typen vloeren'!$A$10:$B$40,2,FALSE)</f>
        <v>Sprayen/ conserveren</v>
      </c>
      <c r="J1050" s="433">
        <v>4</v>
      </c>
      <c r="K1050" s="433">
        <f t="shared" si="83"/>
        <v>0</v>
      </c>
      <c r="L1050" s="433">
        <f t="shared" si="84"/>
        <v>0</v>
      </c>
      <c r="M1050" s="433">
        <f t="shared" si="85"/>
        <v>0</v>
      </c>
      <c r="N1050" s="672"/>
      <c r="O1050" s="729">
        <f>IF(N1050="",0,N1050*K1050/'9b-Vloeronderhoud'!$F$4)</f>
        <v>0</v>
      </c>
      <c r="P1050" s="672"/>
      <c r="Q1050" s="729" t="e">
        <f>IF(O1050="",0,P1050*L1050/'9b-Vloeronderhoud'!$F$6)</f>
        <v>#DIV/0!</v>
      </c>
      <c r="R1050" s="449">
        <v>1</v>
      </c>
      <c r="S1050" s="672" t="s">
        <v>179</v>
      </c>
      <c r="T1050" s="161">
        <f t="shared" si="86"/>
        <v>0</v>
      </c>
      <c r="U1050" s="162">
        <f>IF(S1050="nio",0,IF(S1050&gt;0,VLOOKUP(G1050,'3-Productie normen'!A:K,VLOOKUP(S1050,'3-Productie normen'!L:N,3,FALSE),FALSE)))</f>
        <v>0</v>
      </c>
      <c r="V1050" s="162">
        <f>VLOOKUP(G1050,'3-Productie normen'!A:K,10,FALSE)</f>
        <v>5262.809993648526</v>
      </c>
      <c r="W1050" s="163">
        <f>VLOOKUP(G1050,'3-Productie normen'!A:K,11,FALSE)</f>
        <v>0</v>
      </c>
      <c r="X1050" s="163"/>
      <c r="Z1050" s="129">
        <f t="shared" si="87"/>
        <v>0</v>
      </c>
    </row>
    <row r="1051" spans="1:26" ht="14.1" customHeight="1">
      <c r="A1051" s="144">
        <v>1089</v>
      </c>
      <c r="B1051" s="485" t="s">
        <v>256</v>
      </c>
      <c r="C1051" s="303" t="s">
        <v>804</v>
      </c>
      <c r="D1051" s="304" t="s">
        <v>98</v>
      </c>
      <c r="E1051" s="694" t="s">
        <v>312</v>
      </c>
      <c r="F1051" s="303" t="s">
        <v>380</v>
      </c>
      <c r="G1051" s="460" t="s">
        <v>862</v>
      </c>
      <c r="H1051" s="303" t="s">
        <v>100</v>
      </c>
      <c r="I1051" s="582" t="str">
        <f>VLOOKUP(H1051,'9a-Typen vloeren'!$A$10:$B$40,2,FALSE)</f>
        <v>Sprayen/ conserveren</v>
      </c>
      <c r="J1051" s="433">
        <v>85.599998474121094</v>
      </c>
      <c r="K1051" s="433">
        <f t="shared" si="83"/>
        <v>85.599998474121094</v>
      </c>
      <c r="L1051" s="433">
        <f t="shared" si="84"/>
        <v>0</v>
      </c>
      <c r="M1051" s="433">
        <f t="shared" si="85"/>
        <v>0</v>
      </c>
      <c r="N1051" s="672">
        <v>2</v>
      </c>
      <c r="O1051" s="729" t="e">
        <f>IF(N1051="",0,N1051*K1051/'9b-Vloeronderhoud'!$F$4)</f>
        <v>#DIV/0!</v>
      </c>
      <c r="P1051" s="672"/>
      <c r="Q1051" s="729" t="e">
        <f>IF(O1051="",0,P1051*L1051/'9b-Vloeronderhoud'!$F$6)</f>
        <v>#DIV/0!</v>
      </c>
      <c r="R1051" s="449">
        <v>1</v>
      </c>
      <c r="S1051" s="672">
        <v>120</v>
      </c>
      <c r="T1051" s="161" t="e">
        <f t="shared" si="86"/>
        <v>#DIV/0!</v>
      </c>
      <c r="U1051" s="162">
        <f>IF(S1051="nio",0,IF(S1051&gt;0,VLOOKUP(G1051,'3-Productie normen'!A:K,VLOOKUP(S1051,'3-Productie normen'!L:N,3,FALSE),FALSE)))</f>
        <v>0</v>
      </c>
      <c r="V1051" s="162">
        <f>VLOOKUP(G1051,'3-Productie normen'!A:K,10,FALSE)</f>
        <v>4374.9900215911857</v>
      </c>
      <c r="W1051" s="163">
        <f>VLOOKUP(G1051,'3-Productie normen'!A:K,11,FALSE)</f>
        <v>0</v>
      </c>
      <c r="X1051" s="163"/>
      <c r="Z1051" s="129">
        <f t="shared" si="87"/>
        <v>10271.999816894531</v>
      </c>
    </row>
    <row r="1052" spans="1:26" ht="14.1" customHeight="1">
      <c r="A1052" s="144">
        <v>1090</v>
      </c>
      <c r="B1052" s="485" t="s">
        <v>256</v>
      </c>
      <c r="C1052" s="303" t="s">
        <v>804</v>
      </c>
      <c r="D1052" s="304" t="s">
        <v>98</v>
      </c>
      <c r="E1052" s="694" t="s">
        <v>794</v>
      </c>
      <c r="F1052" s="303" t="s">
        <v>285</v>
      </c>
      <c r="G1052" s="460" t="s">
        <v>285</v>
      </c>
      <c r="H1052" s="303" t="s">
        <v>100</v>
      </c>
      <c r="I1052" s="582" t="str">
        <f>VLOOKUP(H1052,'9a-Typen vloeren'!$A$10:$B$40,2,FALSE)</f>
        <v>Sprayen/ conserveren</v>
      </c>
      <c r="J1052" s="433">
        <v>59.400001525878906</v>
      </c>
      <c r="K1052" s="433">
        <f t="shared" si="83"/>
        <v>59.400001525878906</v>
      </c>
      <c r="L1052" s="433">
        <f t="shared" si="84"/>
        <v>0</v>
      </c>
      <c r="M1052" s="433">
        <f t="shared" si="85"/>
        <v>0</v>
      </c>
      <c r="N1052" s="672"/>
      <c r="O1052" s="729">
        <f>IF(N1052="",0,N1052*K1052/'9b-Vloeronderhoud'!$F$4)</f>
        <v>0</v>
      </c>
      <c r="P1052" s="672"/>
      <c r="Q1052" s="729" t="e">
        <f>IF(O1052="",0,P1052*L1052/'9b-Vloeronderhoud'!$F$6)</f>
        <v>#DIV/0!</v>
      </c>
      <c r="R1052" s="449">
        <v>1</v>
      </c>
      <c r="S1052" s="672">
        <v>190</v>
      </c>
      <c r="T1052" s="161" t="e">
        <f t="shared" si="86"/>
        <v>#DIV/0!</v>
      </c>
      <c r="U1052" s="162">
        <f>IF(S1052="nio",0,IF(S1052&gt;0,VLOOKUP(G1052,'3-Productie normen'!A:K,VLOOKUP(S1052,'3-Productie normen'!L:N,3,FALSE),FALSE)))</f>
        <v>0</v>
      </c>
      <c r="V1052" s="162">
        <f>VLOOKUP(G1052,'3-Productie normen'!A:K,10,FALSE)</f>
        <v>3305.8200070953367</v>
      </c>
      <c r="W1052" s="163">
        <f>VLOOKUP(G1052,'3-Productie normen'!A:K,11,FALSE)</f>
        <v>0</v>
      </c>
      <c r="X1052" s="163"/>
      <c r="Z1052" s="129">
        <f t="shared" si="87"/>
        <v>11286.000289916992</v>
      </c>
    </row>
    <row r="1053" spans="1:26" ht="14.1" customHeight="1">
      <c r="A1053" s="144">
        <v>1091</v>
      </c>
      <c r="B1053" s="485" t="s">
        <v>256</v>
      </c>
      <c r="C1053" s="303" t="s">
        <v>804</v>
      </c>
      <c r="D1053" s="304" t="s">
        <v>98</v>
      </c>
      <c r="E1053" s="694" t="s">
        <v>794</v>
      </c>
      <c r="F1053" s="303" t="s">
        <v>285</v>
      </c>
      <c r="G1053" s="122" t="s">
        <v>285</v>
      </c>
      <c r="H1053" s="303" t="s">
        <v>101</v>
      </c>
      <c r="I1053" s="582" t="str">
        <f>VLOOKUP(H1053,'9a-Typen vloeren'!$A$10:$B$40,2,FALSE)</f>
        <v>Schrobben</v>
      </c>
      <c r="J1053" s="433">
        <v>6.3000001907348633</v>
      </c>
      <c r="K1053" s="433">
        <f t="shared" si="83"/>
        <v>0</v>
      </c>
      <c r="L1053" s="433">
        <f t="shared" si="84"/>
        <v>6.3000001907348633</v>
      </c>
      <c r="M1053" s="433">
        <f t="shared" si="85"/>
        <v>0</v>
      </c>
      <c r="N1053" s="672"/>
      <c r="O1053" s="729">
        <f>IF(N1053="",0,N1053*K1053/'9b-Vloeronderhoud'!$F$4)</f>
        <v>0</v>
      </c>
      <c r="P1053" s="672"/>
      <c r="Q1053" s="729" t="e">
        <f>IF(O1053="",0,P1053*L1053/'9b-Vloeronderhoud'!$F$6)</f>
        <v>#DIV/0!</v>
      </c>
      <c r="R1053" s="449">
        <v>1</v>
      </c>
      <c r="S1053" s="672">
        <v>190</v>
      </c>
      <c r="T1053" s="161" t="e">
        <f t="shared" si="86"/>
        <v>#DIV/0!</v>
      </c>
      <c r="U1053" s="162">
        <f>IF(S1053="nio",0,IF(S1053&gt;0,VLOOKUP(G1053,'3-Productie normen'!A:K,VLOOKUP(S1053,'3-Productie normen'!L:N,3,FALSE),FALSE)))</f>
        <v>0</v>
      </c>
      <c r="V1053" s="162">
        <f>VLOOKUP(G1053,'3-Productie normen'!A:K,10,FALSE)</f>
        <v>3305.8200070953367</v>
      </c>
      <c r="W1053" s="163">
        <f>VLOOKUP(G1053,'3-Productie normen'!A:K,11,FALSE)</f>
        <v>0</v>
      </c>
      <c r="X1053" s="163"/>
      <c r="Z1053" s="129">
        <f t="shared" si="87"/>
        <v>1197.000036239624</v>
      </c>
    </row>
    <row r="1054" spans="1:26" ht="14.1" customHeight="1">
      <c r="A1054" s="144">
        <v>1092</v>
      </c>
      <c r="B1054" s="485" t="s">
        <v>256</v>
      </c>
      <c r="C1054" s="303" t="s">
        <v>804</v>
      </c>
      <c r="D1054" s="304" t="s">
        <v>98</v>
      </c>
      <c r="E1054" s="694" t="s">
        <v>345</v>
      </c>
      <c r="F1054" s="303" t="s">
        <v>302</v>
      </c>
      <c r="G1054" s="122" t="s">
        <v>18</v>
      </c>
      <c r="H1054" s="534" t="s">
        <v>954</v>
      </c>
      <c r="I1054" s="582" t="str">
        <f>VLOOKUP(H1054,'9a-Typen vloeren'!$A$10:$B$40,2,FALSE)</f>
        <v>zie kwaliteitsontwerp</v>
      </c>
      <c r="J1054" s="433">
        <v>5.1999998092651367</v>
      </c>
      <c r="K1054" s="433">
        <f t="shared" si="83"/>
        <v>0</v>
      </c>
      <c r="L1054" s="433">
        <f t="shared" si="84"/>
        <v>0</v>
      </c>
      <c r="M1054" s="433">
        <f t="shared" si="85"/>
        <v>0</v>
      </c>
      <c r="N1054" s="672"/>
      <c r="O1054" s="729">
        <f>IF(N1054="",0,N1054*K1054/'9b-Vloeronderhoud'!$F$4)</f>
        <v>0</v>
      </c>
      <c r="P1054" s="672"/>
      <c r="Q1054" s="729" t="e">
        <f>IF(O1054="",0,P1054*L1054/'9b-Vloeronderhoud'!$F$6)</f>
        <v>#DIV/0!</v>
      </c>
      <c r="R1054" s="449">
        <v>1</v>
      </c>
      <c r="S1054" s="672">
        <v>190</v>
      </c>
      <c r="T1054" s="161" t="e">
        <f t="shared" si="86"/>
        <v>#DIV/0!</v>
      </c>
      <c r="U1054" s="162">
        <f>IF(S1054="nio",0,IF(S1054&gt;0,VLOOKUP(G1054,'3-Productie normen'!A:K,VLOOKUP(S1054,'3-Productie normen'!L:N,3,FALSE),FALSE)))</f>
        <v>0</v>
      </c>
      <c r="V1054" s="162">
        <f>VLOOKUP(G1054,'3-Productie normen'!A:K,10,FALSE)</f>
        <v>1859.5880019121171</v>
      </c>
      <c r="W1054" s="163">
        <f>VLOOKUP(G1054,'3-Productie normen'!A:K,11,FALSE)</f>
        <v>0</v>
      </c>
      <c r="X1054" s="163"/>
      <c r="Z1054" s="129">
        <f t="shared" si="87"/>
        <v>987.99996376037598</v>
      </c>
    </row>
    <row r="1055" spans="1:26" ht="14.1" customHeight="1">
      <c r="A1055" s="144">
        <v>1093</v>
      </c>
      <c r="B1055" s="485" t="s">
        <v>256</v>
      </c>
      <c r="C1055" s="303" t="s">
        <v>804</v>
      </c>
      <c r="D1055" s="304" t="s">
        <v>98</v>
      </c>
      <c r="E1055" s="694" t="s">
        <v>795</v>
      </c>
      <c r="F1055" s="303" t="s">
        <v>290</v>
      </c>
      <c r="G1055" s="460" t="s">
        <v>190</v>
      </c>
      <c r="H1055" s="303" t="s">
        <v>375</v>
      </c>
      <c r="I1055" s="582" t="str">
        <f>VLOOKUP(H1055,'9a-Typen vloeren'!$A$10:$B$40,2,FALSE)</f>
        <v>n.v.t.</v>
      </c>
      <c r="J1055" s="433">
        <v>5.1999998092651367</v>
      </c>
      <c r="K1055" s="433">
        <f t="shared" si="83"/>
        <v>0</v>
      </c>
      <c r="L1055" s="433">
        <f t="shared" si="84"/>
        <v>0</v>
      </c>
      <c r="M1055" s="433">
        <f t="shared" si="85"/>
        <v>0</v>
      </c>
      <c r="N1055" s="672"/>
      <c r="O1055" s="729">
        <f>IF(N1055="",0,N1055*K1055/'9b-Vloeronderhoud'!$F$4)</f>
        <v>0</v>
      </c>
      <c r="P1055" s="672"/>
      <c r="Q1055" s="729" t="e">
        <f>IF(O1055="",0,P1055*L1055/'9b-Vloeronderhoud'!$F$6)</f>
        <v>#DIV/0!</v>
      </c>
      <c r="R1055" s="449">
        <v>1</v>
      </c>
      <c r="S1055" s="672">
        <v>40</v>
      </c>
      <c r="T1055" s="161" t="e">
        <f t="shared" si="86"/>
        <v>#DIV/0!</v>
      </c>
      <c r="U1055" s="162">
        <f>IF(S1055="nio",0,IF(S1055&gt;0,VLOOKUP(G1055,'3-Productie normen'!A:K,VLOOKUP(S1055,'3-Productie normen'!L:N,3,FALSE),FALSE)))</f>
        <v>0</v>
      </c>
      <c r="V1055" s="162">
        <f>VLOOKUP(G1055,'3-Productie normen'!A:K,10,FALSE)</f>
        <v>281.65000052452086</v>
      </c>
      <c r="W1055" s="163">
        <f>VLOOKUP(G1055,'3-Productie normen'!A:K,11,FALSE)</f>
        <v>0</v>
      </c>
      <c r="X1055" s="163"/>
      <c r="Z1055" s="129">
        <f t="shared" si="87"/>
        <v>207.99999237060547</v>
      </c>
    </row>
    <row r="1056" spans="1:26" ht="14.1" customHeight="1">
      <c r="A1056" s="144">
        <v>1094</v>
      </c>
      <c r="B1056" s="485" t="s">
        <v>256</v>
      </c>
      <c r="C1056" s="303" t="s">
        <v>804</v>
      </c>
      <c r="D1056" s="304" t="s">
        <v>98</v>
      </c>
      <c r="E1056" s="694" t="s">
        <v>796</v>
      </c>
      <c r="F1056" s="303" t="s">
        <v>281</v>
      </c>
      <c r="G1056" s="460" t="s">
        <v>881</v>
      </c>
      <c r="H1056" s="303" t="s">
        <v>375</v>
      </c>
      <c r="I1056" s="582" t="str">
        <f>VLOOKUP(H1056,'9a-Typen vloeren'!$A$10:$B$40,2,FALSE)</f>
        <v>n.v.t.</v>
      </c>
      <c r="J1056" s="433">
        <v>2.7999999523162842</v>
      </c>
      <c r="K1056" s="433">
        <f t="shared" si="83"/>
        <v>0</v>
      </c>
      <c r="L1056" s="433">
        <f t="shared" si="84"/>
        <v>0</v>
      </c>
      <c r="M1056" s="433">
        <f t="shared" si="85"/>
        <v>0</v>
      </c>
      <c r="N1056" s="672"/>
      <c r="O1056" s="729">
        <f>IF(N1056="",0,N1056*K1056/'9b-Vloeronderhoud'!$F$4)</f>
        <v>0</v>
      </c>
      <c r="P1056" s="672"/>
      <c r="Q1056" s="729" t="e">
        <f>IF(O1056="",0,P1056*L1056/'9b-Vloeronderhoud'!$F$6)</f>
        <v>#DIV/0!</v>
      </c>
      <c r="R1056" s="449">
        <v>1</v>
      </c>
      <c r="S1056" s="672" t="s">
        <v>179</v>
      </c>
      <c r="T1056" s="161">
        <f t="shared" si="86"/>
        <v>0</v>
      </c>
      <c r="U1056" s="162">
        <f>IF(S1056="nio",0,IF(S1056&gt;0,VLOOKUP(G1056,'3-Productie normen'!A:K,VLOOKUP(S1056,'3-Productie normen'!L:N,3,FALSE),FALSE)))</f>
        <v>0</v>
      </c>
      <c r="V1056" s="162">
        <f>VLOOKUP(G1056,'3-Productie normen'!A:K,10,FALSE)</f>
        <v>5262.809993648526</v>
      </c>
      <c r="W1056" s="163">
        <f>VLOOKUP(G1056,'3-Productie normen'!A:K,11,FALSE)</f>
        <v>0</v>
      </c>
      <c r="X1056" s="163"/>
      <c r="Z1056" s="129">
        <f t="shared" si="87"/>
        <v>0</v>
      </c>
    </row>
    <row r="1057" spans="1:26" ht="14.1" customHeight="1">
      <c r="A1057" s="144">
        <v>1095</v>
      </c>
      <c r="B1057" s="485" t="s">
        <v>256</v>
      </c>
      <c r="C1057" s="303" t="s">
        <v>804</v>
      </c>
      <c r="D1057" s="304" t="s">
        <v>98</v>
      </c>
      <c r="E1057" s="694" t="s">
        <v>797</v>
      </c>
      <c r="F1057" s="303" t="s">
        <v>338</v>
      </c>
      <c r="G1057" s="122" t="s">
        <v>286</v>
      </c>
      <c r="H1057" s="303" t="s">
        <v>375</v>
      </c>
      <c r="I1057" s="582" t="str">
        <f>VLOOKUP(H1057,'9a-Typen vloeren'!$A$10:$B$40,2,FALSE)</f>
        <v>n.v.t.</v>
      </c>
      <c r="J1057" s="433">
        <v>4</v>
      </c>
      <c r="K1057" s="433">
        <f t="shared" si="83"/>
        <v>0</v>
      </c>
      <c r="L1057" s="433">
        <f t="shared" si="84"/>
        <v>0</v>
      </c>
      <c r="M1057" s="433">
        <f t="shared" si="85"/>
        <v>0</v>
      </c>
      <c r="N1057" s="672"/>
      <c r="O1057" s="729">
        <f>IF(N1057="",0,N1057*K1057/'9b-Vloeronderhoud'!$F$4)</f>
        <v>0</v>
      </c>
      <c r="P1057" s="672"/>
      <c r="Q1057" s="729" t="e">
        <f>IF(O1057="",0,P1057*L1057/'9b-Vloeronderhoud'!$F$6)</f>
        <v>#DIV/0!</v>
      </c>
      <c r="R1057" s="449">
        <v>1</v>
      </c>
      <c r="S1057" s="672">
        <v>120</v>
      </c>
      <c r="T1057" s="161" t="e">
        <f t="shared" si="86"/>
        <v>#DIV/0!</v>
      </c>
      <c r="U1057" s="162">
        <f>IF(S1057="nio",0,IF(S1057&gt;0,VLOOKUP(G1057,'3-Productie normen'!A:K,VLOOKUP(S1057,'3-Productie normen'!L:N,3,FALSE),FALSE)))</f>
        <v>0</v>
      </c>
      <c r="V1057" s="162">
        <f>VLOOKUP(G1057,'3-Productie normen'!A:K,10,FALSE)</f>
        <v>6152.9500017547598</v>
      </c>
      <c r="W1057" s="163">
        <f>VLOOKUP(G1057,'3-Productie normen'!A:K,11,FALSE)</f>
        <v>0</v>
      </c>
      <c r="X1057" s="163"/>
      <c r="Z1057" s="129">
        <f t="shared" si="87"/>
        <v>480</v>
      </c>
    </row>
    <row r="1058" spans="1:26" ht="14.1" customHeight="1">
      <c r="A1058" s="144">
        <v>1096</v>
      </c>
      <c r="B1058" s="485" t="s">
        <v>256</v>
      </c>
      <c r="C1058" s="303" t="s">
        <v>804</v>
      </c>
      <c r="D1058" s="304" t="s">
        <v>98</v>
      </c>
      <c r="E1058" s="694" t="s">
        <v>315</v>
      </c>
      <c r="F1058" s="303" t="s">
        <v>710</v>
      </c>
      <c r="G1058" s="122" t="s">
        <v>279</v>
      </c>
      <c r="H1058" s="303" t="s">
        <v>375</v>
      </c>
      <c r="I1058" s="582" t="str">
        <f>VLOOKUP(H1058,'9a-Typen vloeren'!$A$10:$B$40,2,FALSE)</f>
        <v>n.v.t.</v>
      </c>
      <c r="J1058" s="433">
        <v>69.699996948242188</v>
      </c>
      <c r="K1058" s="433">
        <f t="shared" si="83"/>
        <v>0</v>
      </c>
      <c r="L1058" s="433">
        <f t="shared" si="84"/>
        <v>0</v>
      </c>
      <c r="M1058" s="433">
        <f t="shared" si="85"/>
        <v>0</v>
      </c>
      <c r="N1058" s="672"/>
      <c r="O1058" s="729">
        <f>IF(N1058="",0,N1058*K1058/'9b-Vloeronderhoud'!$F$4)</f>
        <v>0</v>
      </c>
      <c r="P1058" s="672"/>
      <c r="Q1058" s="729" t="e">
        <f>IF(O1058="",0,P1058*L1058/'9b-Vloeronderhoud'!$F$6)</f>
        <v>#DIV/0!</v>
      </c>
      <c r="R1058" s="449">
        <v>1</v>
      </c>
      <c r="S1058" s="672">
        <v>190</v>
      </c>
      <c r="T1058" s="161" t="e">
        <f t="shared" si="86"/>
        <v>#DIV/0!</v>
      </c>
      <c r="U1058" s="162">
        <f>IF(S1058="nio",0,IF(S1058&gt;0,VLOOKUP(G1058,'3-Productie normen'!A:K,VLOOKUP(S1058,'3-Productie normen'!L:N,3,FALSE),FALSE)))</f>
        <v>0</v>
      </c>
      <c r="V1058" s="162">
        <f>VLOOKUP(G1058,'3-Productie normen'!A:K,10,FALSE)</f>
        <v>648.99999618530273</v>
      </c>
      <c r="W1058" s="163">
        <f>VLOOKUP(G1058,'3-Productie normen'!A:K,11,FALSE)</f>
        <v>0</v>
      </c>
      <c r="X1058" s="163"/>
      <c r="Z1058" s="129">
        <f t="shared" si="87"/>
        <v>13242.999420166016</v>
      </c>
    </row>
    <row r="1059" spans="1:26" ht="14.1" customHeight="1">
      <c r="A1059" s="144">
        <v>1097</v>
      </c>
      <c r="B1059" s="485" t="s">
        <v>256</v>
      </c>
      <c r="C1059" s="303" t="s">
        <v>804</v>
      </c>
      <c r="D1059" s="304" t="s">
        <v>98</v>
      </c>
      <c r="E1059" s="694" t="s">
        <v>798</v>
      </c>
      <c r="F1059" s="303" t="s">
        <v>282</v>
      </c>
      <c r="G1059" s="460" t="s">
        <v>881</v>
      </c>
      <c r="H1059" s="303" t="s">
        <v>375</v>
      </c>
      <c r="I1059" s="582" t="str">
        <f>VLOOKUP(H1059,'9a-Typen vloeren'!$A$10:$B$40,2,FALSE)</f>
        <v>n.v.t.</v>
      </c>
      <c r="J1059" s="433">
        <v>6.0999999046325684</v>
      </c>
      <c r="K1059" s="433">
        <f t="shared" si="83"/>
        <v>0</v>
      </c>
      <c r="L1059" s="433">
        <f t="shared" si="84"/>
        <v>0</v>
      </c>
      <c r="M1059" s="433">
        <f t="shared" si="85"/>
        <v>0</v>
      </c>
      <c r="N1059" s="672"/>
      <c r="O1059" s="729">
        <f>IF(N1059="",0,N1059*K1059/'9b-Vloeronderhoud'!$F$4)</f>
        <v>0</v>
      </c>
      <c r="P1059" s="672"/>
      <c r="Q1059" s="729" t="e">
        <f>IF(O1059="",0,P1059*L1059/'9b-Vloeronderhoud'!$F$6)</f>
        <v>#DIV/0!</v>
      </c>
      <c r="R1059" s="449">
        <v>1</v>
      </c>
      <c r="S1059" s="672" t="s">
        <v>179</v>
      </c>
      <c r="T1059" s="161">
        <f t="shared" si="86"/>
        <v>0</v>
      </c>
      <c r="U1059" s="162">
        <f>IF(S1059="nio",0,IF(S1059&gt;0,VLOOKUP(G1059,'3-Productie normen'!A:K,VLOOKUP(S1059,'3-Productie normen'!L:N,3,FALSE),FALSE)))</f>
        <v>0</v>
      </c>
      <c r="V1059" s="162">
        <f>VLOOKUP(G1059,'3-Productie normen'!A:K,10,FALSE)</f>
        <v>5262.809993648526</v>
      </c>
      <c r="W1059" s="163">
        <f>VLOOKUP(G1059,'3-Productie normen'!A:K,11,FALSE)</f>
        <v>0</v>
      </c>
      <c r="X1059" s="163"/>
      <c r="Z1059" s="129">
        <f t="shared" si="87"/>
        <v>0</v>
      </c>
    </row>
    <row r="1060" spans="1:26" ht="14.1" customHeight="1">
      <c r="A1060" s="144">
        <v>1098</v>
      </c>
      <c r="B1060" s="485" t="s">
        <v>256</v>
      </c>
      <c r="C1060" s="303" t="s">
        <v>804</v>
      </c>
      <c r="D1060" s="304" t="s">
        <v>98</v>
      </c>
      <c r="E1060" s="694" t="s">
        <v>799</v>
      </c>
      <c r="F1060" s="303" t="s">
        <v>282</v>
      </c>
      <c r="G1060" s="460" t="s">
        <v>881</v>
      </c>
      <c r="H1060" s="303" t="s">
        <v>375</v>
      </c>
      <c r="I1060" s="582" t="str">
        <f>VLOOKUP(H1060,'9a-Typen vloeren'!$A$10:$B$40,2,FALSE)</f>
        <v>n.v.t.</v>
      </c>
      <c r="J1060" s="433">
        <v>6.0999999046325684</v>
      </c>
      <c r="K1060" s="433">
        <f t="shared" si="83"/>
        <v>0</v>
      </c>
      <c r="L1060" s="433">
        <f t="shared" si="84"/>
        <v>0</v>
      </c>
      <c r="M1060" s="433">
        <f t="shared" si="85"/>
        <v>0</v>
      </c>
      <c r="N1060" s="672"/>
      <c r="O1060" s="729">
        <f>IF(N1060="",0,N1060*K1060/'9b-Vloeronderhoud'!$F$4)</f>
        <v>0</v>
      </c>
      <c r="P1060" s="672"/>
      <c r="Q1060" s="729" t="e">
        <f>IF(O1060="",0,P1060*L1060/'9b-Vloeronderhoud'!$F$6)</f>
        <v>#DIV/0!</v>
      </c>
      <c r="R1060" s="449">
        <v>1</v>
      </c>
      <c r="S1060" s="672" t="s">
        <v>179</v>
      </c>
      <c r="T1060" s="161">
        <f t="shared" si="86"/>
        <v>0</v>
      </c>
      <c r="U1060" s="162">
        <f>IF(S1060="nio",0,IF(S1060&gt;0,VLOOKUP(G1060,'3-Productie normen'!A:K,VLOOKUP(S1060,'3-Productie normen'!L:N,3,FALSE),FALSE)))</f>
        <v>0</v>
      </c>
      <c r="V1060" s="162">
        <f>VLOOKUP(G1060,'3-Productie normen'!A:K,10,FALSE)</f>
        <v>5262.809993648526</v>
      </c>
      <c r="W1060" s="163">
        <f>VLOOKUP(G1060,'3-Productie normen'!A:K,11,FALSE)</f>
        <v>0</v>
      </c>
      <c r="X1060" s="163"/>
      <c r="Z1060" s="129">
        <f t="shared" si="87"/>
        <v>0</v>
      </c>
    </row>
    <row r="1061" spans="1:26" ht="14.1" customHeight="1">
      <c r="A1061" s="144">
        <v>1099</v>
      </c>
      <c r="B1061" s="485" t="s">
        <v>256</v>
      </c>
      <c r="C1061" s="303" t="s">
        <v>804</v>
      </c>
      <c r="D1061" s="304" t="s">
        <v>98</v>
      </c>
      <c r="E1061" s="694" t="s">
        <v>800</v>
      </c>
      <c r="F1061" s="303" t="s">
        <v>302</v>
      </c>
      <c r="G1061" s="122" t="s">
        <v>18</v>
      </c>
      <c r="H1061" s="303" t="s">
        <v>375</v>
      </c>
      <c r="I1061" s="582" t="str">
        <f>VLOOKUP(H1061,'9a-Typen vloeren'!$A$10:$B$40,2,FALSE)</f>
        <v>n.v.t.</v>
      </c>
      <c r="J1061" s="433">
        <v>7.8000001907348633</v>
      </c>
      <c r="K1061" s="433">
        <f t="shared" si="83"/>
        <v>0</v>
      </c>
      <c r="L1061" s="433">
        <f t="shared" si="84"/>
        <v>0</v>
      </c>
      <c r="M1061" s="433">
        <f t="shared" si="85"/>
        <v>0</v>
      </c>
      <c r="N1061" s="672"/>
      <c r="O1061" s="729">
        <f>IF(N1061="",0,N1061*K1061/'9b-Vloeronderhoud'!$F$4)</f>
        <v>0</v>
      </c>
      <c r="P1061" s="672"/>
      <c r="Q1061" s="729" t="e">
        <f>IF(O1061="",0,P1061*L1061/'9b-Vloeronderhoud'!$F$6)</f>
        <v>#DIV/0!</v>
      </c>
      <c r="R1061" s="449">
        <v>1</v>
      </c>
      <c r="S1061" s="672">
        <v>190</v>
      </c>
      <c r="T1061" s="161" t="e">
        <f t="shared" si="86"/>
        <v>#DIV/0!</v>
      </c>
      <c r="U1061" s="162">
        <f>IF(S1061="nio",0,IF(S1061&gt;0,VLOOKUP(G1061,'3-Productie normen'!A:K,VLOOKUP(S1061,'3-Productie normen'!L:N,3,FALSE),FALSE)))</f>
        <v>0</v>
      </c>
      <c r="V1061" s="162">
        <f>VLOOKUP(G1061,'3-Productie normen'!A:K,10,FALSE)</f>
        <v>1859.5880019121171</v>
      </c>
      <c r="W1061" s="163">
        <f>VLOOKUP(G1061,'3-Productie normen'!A:K,11,FALSE)</f>
        <v>0</v>
      </c>
      <c r="X1061" s="163"/>
      <c r="Z1061" s="129">
        <f t="shared" si="87"/>
        <v>1482.000036239624</v>
      </c>
    </row>
    <row r="1062" spans="1:26" ht="14.1" customHeight="1">
      <c r="A1062" s="144">
        <v>1100</v>
      </c>
      <c r="B1062" s="485" t="s">
        <v>256</v>
      </c>
      <c r="C1062" s="303" t="s">
        <v>804</v>
      </c>
      <c r="D1062" s="304" t="s">
        <v>98</v>
      </c>
      <c r="E1062" s="694" t="s">
        <v>726</v>
      </c>
      <c r="F1062" s="303" t="s">
        <v>730</v>
      </c>
      <c r="G1062" s="303" t="s">
        <v>286</v>
      </c>
      <c r="H1062" s="303" t="s">
        <v>100</v>
      </c>
      <c r="I1062" s="582" t="str">
        <f>VLOOKUP(H1062,'9a-Typen vloeren'!$A$10:$B$40,2,FALSE)</f>
        <v>Sprayen/ conserveren</v>
      </c>
      <c r="J1062" s="433">
        <v>58.299999237060547</v>
      </c>
      <c r="K1062" s="433">
        <f t="shared" si="83"/>
        <v>58.299999237060547</v>
      </c>
      <c r="L1062" s="433">
        <f t="shared" si="84"/>
        <v>0</v>
      </c>
      <c r="M1062" s="433">
        <f t="shared" si="85"/>
        <v>0</v>
      </c>
      <c r="N1062" s="672">
        <v>2</v>
      </c>
      <c r="O1062" s="729" t="e">
        <f>IF(N1062="",0,N1062*K1062/'9b-Vloeronderhoud'!$F$4)</f>
        <v>#DIV/0!</v>
      </c>
      <c r="P1062" s="672"/>
      <c r="Q1062" s="729" t="e">
        <f>IF(O1062="",0,P1062*L1062/'9b-Vloeronderhoud'!$F$6)</f>
        <v>#DIV/0!</v>
      </c>
      <c r="R1062" s="449">
        <v>1</v>
      </c>
      <c r="S1062" s="672">
        <v>80</v>
      </c>
      <c r="T1062" s="161" t="e">
        <f t="shared" si="86"/>
        <v>#DIV/0!</v>
      </c>
      <c r="U1062" s="162">
        <f>IF(S1062="nio",0,IF(S1062&gt;0,VLOOKUP(G1062,'3-Productie normen'!A:K,VLOOKUP(S1062,'3-Productie normen'!L:N,3,FALSE),FALSE)))</f>
        <v>0</v>
      </c>
      <c r="V1062" s="162">
        <f>VLOOKUP(G1062,'3-Productie normen'!A:K,10,FALSE)</f>
        <v>6152.9500017547598</v>
      </c>
      <c r="W1062" s="163">
        <f>VLOOKUP(G1062,'3-Productie normen'!A:K,11,FALSE)</f>
        <v>0</v>
      </c>
      <c r="X1062" s="163"/>
      <c r="Z1062" s="129">
        <f t="shared" si="87"/>
        <v>4663.9999389648438</v>
      </c>
    </row>
    <row r="1063" spans="1:26" ht="14.1" customHeight="1">
      <c r="A1063" s="144">
        <v>1101</v>
      </c>
      <c r="B1063" s="485" t="s">
        <v>256</v>
      </c>
      <c r="C1063" s="303" t="s">
        <v>804</v>
      </c>
      <c r="D1063" s="304" t="s">
        <v>98</v>
      </c>
      <c r="E1063" s="694" t="s">
        <v>408</v>
      </c>
      <c r="F1063" s="303" t="s">
        <v>283</v>
      </c>
      <c r="G1063" s="460" t="s">
        <v>286</v>
      </c>
      <c r="H1063" s="303" t="s">
        <v>100</v>
      </c>
      <c r="I1063" s="582" t="str">
        <f>VLOOKUP(H1063,'9a-Typen vloeren'!$A$10:$B$40,2,FALSE)</f>
        <v>Sprayen/ conserveren</v>
      </c>
      <c r="J1063" s="433">
        <v>33.799999237060547</v>
      </c>
      <c r="K1063" s="433">
        <f t="shared" si="83"/>
        <v>33.799999237060547</v>
      </c>
      <c r="L1063" s="433">
        <f t="shared" si="84"/>
        <v>0</v>
      </c>
      <c r="M1063" s="433">
        <f t="shared" si="85"/>
        <v>0</v>
      </c>
      <c r="N1063" s="672">
        <v>2</v>
      </c>
      <c r="O1063" s="729" t="e">
        <f>IF(N1063="",0,N1063*K1063/'9b-Vloeronderhoud'!$F$4)</f>
        <v>#DIV/0!</v>
      </c>
      <c r="P1063" s="672"/>
      <c r="Q1063" s="729" t="e">
        <f>IF(O1063="",0,P1063*L1063/'9b-Vloeronderhoud'!$F$6)</f>
        <v>#DIV/0!</v>
      </c>
      <c r="R1063" s="449">
        <v>1</v>
      </c>
      <c r="S1063" s="672">
        <v>120</v>
      </c>
      <c r="T1063" s="161" t="e">
        <f t="shared" si="86"/>
        <v>#DIV/0!</v>
      </c>
      <c r="U1063" s="162">
        <f>IF(S1063="nio",0,IF(S1063&gt;0,VLOOKUP(G1063,'3-Productie normen'!A:K,VLOOKUP(S1063,'3-Productie normen'!L:N,3,FALSE),FALSE)))</f>
        <v>0</v>
      </c>
      <c r="V1063" s="162">
        <f>VLOOKUP(G1063,'3-Productie normen'!A:K,10,FALSE)</f>
        <v>6152.9500017547598</v>
      </c>
      <c r="W1063" s="163">
        <f>VLOOKUP(G1063,'3-Productie normen'!A:K,11,FALSE)</f>
        <v>0</v>
      </c>
      <c r="X1063" s="163"/>
      <c r="Z1063" s="129">
        <f t="shared" si="87"/>
        <v>4055.9999084472656</v>
      </c>
    </row>
    <row r="1064" spans="1:26" ht="14.1" customHeight="1">
      <c r="A1064" s="144">
        <v>1102</v>
      </c>
      <c r="B1064" s="485" t="s">
        <v>256</v>
      </c>
      <c r="C1064" s="303" t="s">
        <v>804</v>
      </c>
      <c r="D1064" s="304" t="s">
        <v>98</v>
      </c>
      <c r="E1064" s="694" t="s">
        <v>728</v>
      </c>
      <c r="F1064" s="303" t="s">
        <v>221</v>
      </c>
      <c r="G1064" s="460" t="s">
        <v>221</v>
      </c>
      <c r="H1064" s="303" t="s">
        <v>100</v>
      </c>
      <c r="I1064" s="582" t="str">
        <f>VLOOKUP(H1064,'9a-Typen vloeren'!$A$10:$B$40,2,FALSE)</f>
        <v>Sprayen/ conserveren</v>
      </c>
      <c r="J1064" s="433">
        <v>58.299999237060547</v>
      </c>
      <c r="K1064" s="433">
        <f t="shared" si="83"/>
        <v>58.299999237060547</v>
      </c>
      <c r="L1064" s="433">
        <f t="shared" si="84"/>
        <v>0</v>
      </c>
      <c r="M1064" s="433">
        <f t="shared" si="85"/>
        <v>0</v>
      </c>
      <c r="N1064" s="672"/>
      <c r="O1064" s="729">
        <f>IF(N1064="",0,N1064*K1064/'9b-Vloeronderhoud'!$F$4)</f>
        <v>0</v>
      </c>
      <c r="P1064" s="672"/>
      <c r="Q1064" s="729" t="e">
        <f>IF(O1064="",0,P1064*L1064/'9b-Vloeronderhoud'!$F$6)</f>
        <v>#DIV/0!</v>
      </c>
      <c r="R1064" s="449">
        <v>1</v>
      </c>
      <c r="S1064" s="672">
        <v>80</v>
      </c>
      <c r="T1064" s="161" t="e">
        <f t="shared" si="86"/>
        <v>#DIV/0!</v>
      </c>
      <c r="U1064" s="162">
        <f>IF(S1064="nio",0,IF(S1064&gt;0,VLOOKUP(G1064,'3-Productie normen'!A:K,VLOOKUP(S1064,'3-Productie normen'!L:N,3,FALSE),FALSE)))</f>
        <v>0</v>
      </c>
      <c r="V1064" s="162">
        <f>VLOOKUP(G1064,'3-Productie normen'!A:K,10,FALSE)</f>
        <v>16013.110036668773</v>
      </c>
      <c r="W1064" s="163">
        <f>VLOOKUP(G1064,'3-Productie normen'!A:K,11,FALSE)</f>
        <v>0</v>
      </c>
      <c r="X1064" s="163"/>
      <c r="Z1064" s="129">
        <f t="shared" si="87"/>
        <v>4663.9999389648438</v>
      </c>
    </row>
    <row r="1065" spans="1:26" ht="14.1" customHeight="1">
      <c r="A1065" s="144">
        <v>1103</v>
      </c>
      <c r="B1065" s="485" t="s">
        <v>256</v>
      </c>
      <c r="C1065" s="303" t="s">
        <v>804</v>
      </c>
      <c r="D1065" s="304" t="s">
        <v>98</v>
      </c>
      <c r="E1065" s="694" t="s">
        <v>731</v>
      </c>
      <c r="F1065" s="303" t="s">
        <v>221</v>
      </c>
      <c r="G1065" s="460" t="s">
        <v>221</v>
      </c>
      <c r="H1065" s="303" t="s">
        <v>100</v>
      </c>
      <c r="I1065" s="582" t="str">
        <f>VLOOKUP(H1065,'9a-Typen vloeren'!$A$10:$B$40,2,FALSE)</f>
        <v>Sprayen/ conserveren</v>
      </c>
      <c r="J1065" s="433">
        <v>58.299999237060547</v>
      </c>
      <c r="K1065" s="433">
        <f t="shared" si="83"/>
        <v>58.299999237060547</v>
      </c>
      <c r="L1065" s="433">
        <f t="shared" si="84"/>
        <v>0</v>
      </c>
      <c r="M1065" s="433">
        <f t="shared" si="85"/>
        <v>0</v>
      </c>
      <c r="N1065" s="672"/>
      <c r="O1065" s="729">
        <f>IF(N1065="",0,N1065*K1065/'9b-Vloeronderhoud'!$F$4)</f>
        <v>0</v>
      </c>
      <c r="P1065" s="672"/>
      <c r="Q1065" s="729" t="e">
        <f>IF(O1065="",0,P1065*L1065/'9b-Vloeronderhoud'!$F$6)</f>
        <v>#DIV/0!</v>
      </c>
      <c r="R1065" s="449">
        <v>1</v>
      </c>
      <c r="S1065" s="672">
        <v>80</v>
      </c>
      <c r="T1065" s="161" t="e">
        <f t="shared" si="86"/>
        <v>#DIV/0!</v>
      </c>
      <c r="U1065" s="162">
        <f>IF(S1065="nio",0,IF(S1065&gt;0,VLOOKUP(G1065,'3-Productie normen'!A:K,VLOOKUP(S1065,'3-Productie normen'!L:N,3,FALSE),FALSE)))</f>
        <v>0</v>
      </c>
      <c r="V1065" s="162">
        <f>VLOOKUP(G1065,'3-Productie normen'!A:K,10,FALSE)</f>
        <v>16013.110036668773</v>
      </c>
      <c r="W1065" s="163">
        <f>VLOOKUP(G1065,'3-Productie normen'!A:K,11,FALSE)</f>
        <v>0</v>
      </c>
      <c r="X1065" s="163"/>
      <c r="Z1065" s="129">
        <f t="shared" si="87"/>
        <v>4663.9999389648438</v>
      </c>
    </row>
    <row r="1066" spans="1:26" ht="14.1" customHeight="1">
      <c r="A1066" s="144">
        <v>1104</v>
      </c>
      <c r="B1066" s="485" t="s">
        <v>256</v>
      </c>
      <c r="C1066" s="303" t="s">
        <v>804</v>
      </c>
      <c r="D1066" s="304" t="s">
        <v>98</v>
      </c>
      <c r="E1066" s="694" t="s">
        <v>414</v>
      </c>
      <c r="F1066" s="303" t="s">
        <v>283</v>
      </c>
      <c r="G1066" s="122" t="s">
        <v>286</v>
      </c>
      <c r="H1066" s="303" t="s">
        <v>100</v>
      </c>
      <c r="I1066" s="582" t="str">
        <f>VLOOKUP(H1066,'9a-Typen vloeren'!$A$10:$B$40,2,FALSE)</f>
        <v>Sprayen/ conserveren</v>
      </c>
      <c r="J1066" s="433">
        <v>44.200000762939453</v>
      </c>
      <c r="K1066" s="433">
        <f t="shared" si="83"/>
        <v>44.200000762939453</v>
      </c>
      <c r="L1066" s="433">
        <f t="shared" si="84"/>
        <v>0</v>
      </c>
      <c r="M1066" s="433">
        <f t="shared" si="85"/>
        <v>0</v>
      </c>
      <c r="N1066" s="672">
        <v>2</v>
      </c>
      <c r="O1066" s="729" t="e">
        <f>IF(N1066="",0,N1066*K1066/'9b-Vloeronderhoud'!$F$4)</f>
        <v>#DIV/0!</v>
      </c>
      <c r="P1066" s="672"/>
      <c r="Q1066" s="729" t="e">
        <f>IF(O1066="",0,P1066*L1066/'9b-Vloeronderhoud'!$F$6)</f>
        <v>#DIV/0!</v>
      </c>
      <c r="R1066" s="449">
        <v>1</v>
      </c>
      <c r="S1066" s="672">
        <v>120</v>
      </c>
      <c r="T1066" s="161" t="e">
        <f t="shared" si="86"/>
        <v>#DIV/0!</v>
      </c>
      <c r="U1066" s="162">
        <f>IF(S1066="nio",0,IF(S1066&gt;0,VLOOKUP(G1066,'3-Productie normen'!A:K,VLOOKUP(S1066,'3-Productie normen'!L:N,3,FALSE),FALSE)))</f>
        <v>0</v>
      </c>
      <c r="V1066" s="162">
        <f>VLOOKUP(G1066,'3-Productie normen'!A:K,10,FALSE)</f>
        <v>6152.9500017547598</v>
      </c>
      <c r="W1066" s="163">
        <f>VLOOKUP(G1066,'3-Productie normen'!A:K,11,FALSE)</f>
        <v>0</v>
      </c>
      <c r="X1066" s="163"/>
      <c r="Z1066" s="129">
        <f t="shared" si="87"/>
        <v>5304.0000915527344</v>
      </c>
    </row>
    <row r="1067" spans="1:26" ht="14.1" customHeight="1">
      <c r="A1067" s="144">
        <v>1105</v>
      </c>
      <c r="B1067" s="485" t="s">
        <v>256</v>
      </c>
      <c r="C1067" s="303" t="s">
        <v>804</v>
      </c>
      <c r="D1067" s="304" t="s">
        <v>98</v>
      </c>
      <c r="E1067" s="694" t="s">
        <v>417</v>
      </c>
      <c r="F1067" s="303" t="s">
        <v>316</v>
      </c>
      <c r="G1067" s="460" t="s">
        <v>881</v>
      </c>
      <c r="H1067" s="303" t="s">
        <v>100</v>
      </c>
      <c r="I1067" s="582" t="str">
        <f>VLOOKUP(H1067,'9a-Typen vloeren'!$A$10:$B$40,2,FALSE)</f>
        <v>Sprayen/ conserveren</v>
      </c>
      <c r="J1067" s="433">
        <v>5.0399999618530273</v>
      </c>
      <c r="K1067" s="433">
        <f t="shared" si="83"/>
        <v>0</v>
      </c>
      <c r="L1067" s="433">
        <f t="shared" si="84"/>
        <v>0</v>
      </c>
      <c r="M1067" s="433">
        <f t="shared" si="85"/>
        <v>0</v>
      </c>
      <c r="N1067" s="672"/>
      <c r="O1067" s="729">
        <f>IF(N1067="",0,N1067*K1067/'9b-Vloeronderhoud'!$F$4)</f>
        <v>0</v>
      </c>
      <c r="P1067" s="672"/>
      <c r="Q1067" s="729" t="e">
        <f>IF(O1067="",0,P1067*L1067/'9b-Vloeronderhoud'!$F$6)</f>
        <v>#DIV/0!</v>
      </c>
      <c r="R1067" s="449">
        <v>1</v>
      </c>
      <c r="S1067" s="672" t="s">
        <v>179</v>
      </c>
      <c r="T1067" s="161">
        <f t="shared" si="86"/>
        <v>0</v>
      </c>
      <c r="U1067" s="162">
        <f>IF(S1067="nio",0,IF(S1067&gt;0,VLOOKUP(G1067,'3-Productie normen'!A:K,VLOOKUP(S1067,'3-Productie normen'!L:N,3,FALSE),FALSE)))</f>
        <v>0</v>
      </c>
      <c r="V1067" s="162">
        <f>VLOOKUP(G1067,'3-Productie normen'!A:K,10,FALSE)</f>
        <v>5262.809993648526</v>
      </c>
      <c r="W1067" s="163">
        <f>VLOOKUP(G1067,'3-Productie normen'!A:K,11,FALSE)</f>
        <v>0</v>
      </c>
      <c r="X1067" s="163"/>
      <c r="Z1067" s="129">
        <f t="shared" si="87"/>
        <v>0</v>
      </c>
    </row>
    <row r="1068" spans="1:26" ht="14.1" customHeight="1">
      <c r="A1068" s="144">
        <v>1106</v>
      </c>
      <c r="B1068" s="485" t="s">
        <v>256</v>
      </c>
      <c r="C1068" s="303" t="s">
        <v>804</v>
      </c>
      <c r="D1068" s="304" t="s">
        <v>98</v>
      </c>
      <c r="E1068" s="694" t="s">
        <v>729</v>
      </c>
      <c r="F1068" s="303" t="s">
        <v>221</v>
      </c>
      <c r="G1068" s="546" t="s">
        <v>221</v>
      </c>
      <c r="H1068" s="303" t="s">
        <v>100</v>
      </c>
      <c r="I1068" s="582" t="str">
        <f>VLOOKUP(H1068,'9a-Typen vloeren'!$A$10:$B$40,2,FALSE)</f>
        <v>Sprayen/ conserveren</v>
      </c>
      <c r="J1068" s="433">
        <v>58.400001525878906</v>
      </c>
      <c r="K1068" s="433">
        <f t="shared" si="83"/>
        <v>58.400001525878906</v>
      </c>
      <c r="L1068" s="433">
        <f t="shared" si="84"/>
        <v>0</v>
      </c>
      <c r="M1068" s="433">
        <f t="shared" si="85"/>
        <v>0</v>
      </c>
      <c r="N1068" s="672"/>
      <c r="O1068" s="729">
        <f>IF(N1068="",0,N1068*K1068/'9b-Vloeronderhoud'!$F$4)</f>
        <v>0</v>
      </c>
      <c r="P1068" s="672"/>
      <c r="Q1068" s="729" t="e">
        <f>IF(O1068="",0,P1068*L1068/'9b-Vloeronderhoud'!$F$6)</f>
        <v>#DIV/0!</v>
      </c>
      <c r="R1068" s="449">
        <v>1</v>
      </c>
      <c r="S1068" s="672">
        <v>80</v>
      </c>
      <c r="T1068" s="161" t="e">
        <f t="shared" si="86"/>
        <v>#DIV/0!</v>
      </c>
      <c r="U1068" s="162">
        <f>IF(S1068="nio",0,IF(S1068&gt;0,VLOOKUP(G1068,'3-Productie normen'!A:K,VLOOKUP(S1068,'3-Productie normen'!L:N,3,FALSE),FALSE)))</f>
        <v>0</v>
      </c>
      <c r="V1068" s="162">
        <f>VLOOKUP(G1068,'3-Productie normen'!A:K,10,FALSE)</f>
        <v>16013.110036668773</v>
      </c>
      <c r="W1068" s="163">
        <f>VLOOKUP(G1068,'3-Productie normen'!A:K,11,FALSE)</f>
        <v>0</v>
      </c>
      <c r="X1068" s="163"/>
      <c r="Z1068" s="129">
        <f t="shared" si="87"/>
        <v>4672.0001220703125</v>
      </c>
    </row>
    <row r="1069" spans="1:26" ht="14.1" customHeight="1">
      <c r="A1069" s="144">
        <v>1107</v>
      </c>
      <c r="B1069" s="485" t="s">
        <v>256</v>
      </c>
      <c r="C1069" s="303" t="s">
        <v>804</v>
      </c>
      <c r="D1069" s="304" t="s">
        <v>98</v>
      </c>
      <c r="E1069" s="694" t="s">
        <v>733</v>
      </c>
      <c r="F1069" s="303" t="s">
        <v>221</v>
      </c>
      <c r="G1069" s="303" t="s">
        <v>221</v>
      </c>
      <c r="H1069" s="303" t="s">
        <v>100</v>
      </c>
      <c r="I1069" s="582" t="str">
        <f>VLOOKUP(H1069,'9a-Typen vloeren'!$A$10:$B$40,2,FALSE)</f>
        <v>Sprayen/ conserveren</v>
      </c>
      <c r="J1069" s="433">
        <v>58.400001525878906</v>
      </c>
      <c r="K1069" s="433">
        <f t="shared" si="83"/>
        <v>58.400001525878906</v>
      </c>
      <c r="L1069" s="433">
        <f t="shared" si="84"/>
        <v>0</v>
      </c>
      <c r="M1069" s="433">
        <f t="shared" si="85"/>
        <v>0</v>
      </c>
      <c r="N1069" s="672"/>
      <c r="O1069" s="729">
        <f>IF(N1069="",0,N1069*K1069/'9b-Vloeronderhoud'!$F$4)</f>
        <v>0</v>
      </c>
      <c r="P1069" s="672"/>
      <c r="Q1069" s="729" t="e">
        <f>IF(O1069="",0,P1069*L1069/'9b-Vloeronderhoud'!$F$6)</f>
        <v>#DIV/0!</v>
      </c>
      <c r="R1069" s="449">
        <v>1</v>
      </c>
      <c r="S1069" s="688" t="s">
        <v>179</v>
      </c>
      <c r="T1069" s="161">
        <f t="shared" si="86"/>
        <v>0</v>
      </c>
      <c r="U1069" s="162">
        <f>IF(S1069="nio",0,IF(S1069&gt;0,VLOOKUP(G1069,'3-Productie normen'!A:K,VLOOKUP(S1069,'3-Productie normen'!L:N,3,FALSE),FALSE)))</f>
        <v>0</v>
      </c>
      <c r="V1069" s="162">
        <f>VLOOKUP(G1069,'3-Productie normen'!A:K,10,FALSE)</f>
        <v>16013.110036668773</v>
      </c>
      <c r="W1069" s="163">
        <f>VLOOKUP(G1069,'3-Productie normen'!A:K,11,FALSE)</f>
        <v>0</v>
      </c>
      <c r="X1069" s="163"/>
      <c r="Z1069" s="129">
        <f t="shared" si="87"/>
        <v>0</v>
      </c>
    </row>
    <row r="1070" spans="1:26" ht="14.1" customHeight="1">
      <c r="A1070" s="144">
        <v>1108</v>
      </c>
      <c r="B1070" s="485" t="s">
        <v>256</v>
      </c>
      <c r="C1070" s="303" t="s">
        <v>804</v>
      </c>
      <c r="D1070" s="304" t="s">
        <v>98</v>
      </c>
      <c r="E1070" s="694" t="s">
        <v>732</v>
      </c>
      <c r="F1070" s="303" t="s">
        <v>221</v>
      </c>
      <c r="G1070" s="460" t="s">
        <v>221</v>
      </c>
      <c r="H1070" s="303" t="s">
        <v>100</v>
      </c>
      <c r="I1070" s="582" t="str">
        <f>VLOOKUP(H1070,'9a-Typen vloeren'!$A$10:$B$40,2,FALSE)</f>
        <v>Sprayen/ conserveren</v>
      </c>
      <c r="J1070" s="433">
        <v>58.400001525878906</v>
      </c>
      <c r="K1070" s="433">
        <f t="shared" si="83"/>
        <v>58.400001525878906</v>
      </c>
      <c r="L1070" s="433">
        <f t="shared" si="84"/>
        <v>0</v>
      </c>
      <c r="M1070" s="433">
        <f t="shared" si="85"/>
        <v>0</v>
      </c>
      <c r="N1070" s="672"/>
      <c r="O1070" s="729">
        <f>IF(N1070="",0,N1070*K1070/'9b-Vloeronderhoud'!$F$4)</f>
        <v>0</v>
      </c>
      <c r="P1070" s="672"/>
      <c r="Q1070" s="729" t="e">
        <f>IF(O1070="",0,P1070*L1070/'9b-Vloeronderhoud'!$F$6)</f>
        <v>#DIV/0!</v>
      </c>
      <c r="R1070" s="449">
        <v>1</v>
      </c>
      <c r="S1070" s="688" t="s">
        <v>179</v>
      </c>
      <c r="T1070" s="161">
        <f t="shared" si="86"/>
        <v>0</v>
      </c>
      <c r="U1070" s="162">
        <f>IF(S1070="nio",0,IF(S1070&gt;0,VLOOKUP(G1070,'3-Productie normen'!A:K,VLOOKUP(S1070,'3-Productie normen'!L:N,3,FALSE),FALSE)))</f>
        <v>0</v>
      </c>
      <c r="V1070" s="162">
        <f>VLOOKUP(G1070,'3-Productie normen'!A:K,10,FALSE)</f>
        <v>16013.110036668773</v>
      </c>
      <c r="W1070" s="163">
        <f>VLOOKUP(G1070,'3-Productie normen'!A:K,11,FALSE)</f>
        <v>0</v>
      </c>
      <c r="X1070" s="163"/>
      <c r="Z1070" s="129">
        <f t="shared" si="87"/>
        <v>0</v>
      </c>
    </row>
    <row r="1071" spans="1:26" ht="14.1" customHeight="1">
      <c r="A1071" s="144">
        <v>1109</v>
      </c>
      <c r="B1071" s="485" t="s">
        <v>256</v>
      </c>
      <c r="C1071" s="303" t="s">
        <v>804</v>
      </c>
      <c r="D1071" s="304" t="s">
        <v>98</v>
      </c>
      <c r="E1071" s="694" t="s">
        <v>309</v>
      </c>
      <c r="F1071" s="303" t="s">
        <v>221</v>
      </c>
      <c r="G1071" s="546" t="s">
        <v>221</v>
      </c>
      <c r="H1071" s="303" t="s">
        <v>100</v>
      </c>
      <c r="I1071" s="582" t="str">
        <f>VLOOKUP(H1071,'9a-Typen vloeren'!$A$10:$B$40,2,FALSE)</f>
        <v>Sprayen/ conserveren</v>
      </c>
      <c r="J1071" s="433">
        <v>58.400001525878906</v>
      </c>
      <c r="K1071" s="433">
        <f t="shared" si="83"/>
        <v>58.400001525878906</v>
      </c>
      <c r="L1071" s="433">
        <f t="shared" si="84"/>
        <v>0</v>
      </c>
      <c r="M1071" s="433">
        <f t="shared" si="85"/>
        <v>0</v>
      </c>
      <c r="N1071" s="672"/>
      <c r="O1071" s="729">
        <f>IF(N1071="",0,N1071*K1071/'9b-Vloeronderhoud'!$F$4)</f>
        <v>0</v>
      </c>
      <c r="P1071" s="672"/>
      <c r="Q1071" s="729" t="e">
        <f>IF(O1071="",0,P1071*L1071/'9b-Vloeronderhoud'!$F$6)</f>
        <v>#DIV/0!</v>
      </c>
      <c r="R1071" s="449">
        <v>1</v>
      </c>
      <c r="S1071" s="688" t="s">
        <v>179</v>
      </c>
      <c r="T1071" s="161">
        <f t="shared" si="86"/>
        <v>0</v>
      </c>
      <c r="U1071" s="162">
        <f>IF(S1071="nio",0,IF(S1071&gt;0,VLOOKUP(G1071,'3-Productie normen'!A:K,VLOOKUP(S1071,'3-Productie normen'!L:N,3,FALSE),FALSE)))</f>
        <v>0</v>
      </c>
      <c r="V1071" s="162">
        <f>VLOOKUP(G1071,'3-Productie normen'!A:K,10,FALSE)</f>
        <v>16013.110036668773</v>
      </c>
      <c r="W1071" s="163">
        <f>VLOOKUP(G1071,'3-Productie normen'!A:K,11,FALSE)</f>
        <v>0</v>
      </c>
      <c r="X1071" s="163"/>
      <c r="Z1071" s="129">
        <f t="shared" si="87"/>
        <v>0</v>
      </c>
    </row>
    <row r="1072" spans="1:26" ht="14.1" customHeight="1">
      <c r="A1072" s="144">
        <v>1110</v>
      </c>
      <c r="B1072" s="485" t="s">
        <v>256</v>
      </c>
      <c r="C1072" s="303" t="s">
        <v>804</v>
      </c>
      <c r="D1072" s="304" t="s">
        <v>98</v>
      </c>
      <c r="E1072" s="694" t="s">
        <v>415</v>
      </c>
      <c r="F1072" s="303" t="s">
        <v>99</v>
      </c>
      <c r="G1072" s="303" t="s">
        <v>99</v>
      </c>
      <c r="H1072" s="303" t="s">
        <v>802</v>
      </c>
      <c r="I1072" s="582" t="str">
        <f>VLOOKUP(H1072,'9a-Typen vloeren'!$A$10:$B$40,2,FALSE)</f>
        <v>n.v.t.</v>
      </c>
      <c r="J1072" s="433">
        <v>4.5999999046325684</v>
      </c>
      <c r="K1072" s="433">
        <f t="shared" si="83"/>
        <v>0</v>
      </c>
      <c r="L1072" s="433">
        <f t="shared" si="84"/>
        <v>0</v>
      </c>
      <c r="M1072" s="433">
        <f t="shared" si="85"/>
        <v>0</v>
      </c>
      <c r="N1072" s="672"/>
      <c r="O1072" s="729">
        <f>IF(N1072="",0,N1072*K1072/'9b-Vloeronderhoud'!$F$4)</f>
        <v>0</v>
      </c>
      <c r="P1072" s="672"/>
      <c r="Q1072" s="729" t="e">
        <f>IF(O1072="",0,P1072*L1072/'9b-Vloeronderhoud'!$F$6)</f>
        <v>#DIV/0!</v>
      </c>
      <c r="R1072" s="449">
        <v>1</v>
      </c>
      <c r="S1072" s="672">
        <v>190</v>
      </c>
      <c r="T1072" s="161" t="e">
        <f t="shared" si="86"/>
        <v>#DIV/0!</v>
      </c>
      <c r="U1072" s="162">
        <f>IF(S1072="nio",0,IF(S1072&gt;0,VLOOKUP(G1072,'3-Productie normen'!A:K,VLOOKUP(S1072,'3-Productie normen'!L:N,3,FALSE),FALSE)))</f>
        <v>0</v>
      </c>
      <c r="V1072" s="162">
        <f>VLOOKUP(G1072,'3-Productie normen'!A:K,10,FALSE)</f>
        <v>726.97999910354622</v>
      </c>
      <c r="W1072" s="163">
        <f>VLOOKUP(G1072,'3-Productie normen'!A:K,11,FALSE)</f>
        <v>0</v>
      </c>
      <c r="X1072" s="163"/>
      <c r="Z1072" s="129">
        <f t="shared" si="87"/>
        <v>873.99998188018799</v>
      </c>
    </row>
    <row r="1073" spans="1:26" ht="14.1" customHeight="1">
      <c r="A1073" s="144">
        <v>1111</v>
      </c>
      <c r="B1073" s="485" t="s">
        <v>256</v>
      </c>
      <c r="C1073" s="303" t="s">
        <v>804</v>
      </c>
      <c r="D1073" s="304" t="s">
        <v>98</v>
      </c>
      <c r="E1073" s="694" t="s">
        <v>418</v>
      </c>
      <c r="F1073" s="303" t="s">
        <v>316</v>
      </c>
      <c r="G1073" s="460" t="s">
        <v>881</v>
      </c>
      <c r="H1073" s="303" t="s">
        <v>375</v>
      </c>
      <c r="I1073" s="582" t="str">
        <f>VLOOKUP(H1073,'9a-Typen vloeren'!$A$10:$B$40,2,FALSE)</f>
        <v>n.v.t.</v>
      </c>
      <c r="J1073" s="433">
        <v>1</v>
      </c>
      <c r="K1073" s="433">
        <f t="shared" si="83"/>
        <v>0</v>
      </c>
      <c r="L1073" s="433">
        <f t="shared" si="84"/>
        <v>0</v>
      </c>
      <c r="M1073" s="433">
        <f t="shared" si="85"/>
        <v>0</v>
      </c>
      <c r="N1073" s="672"/>
      <c r="O1073" s="729">
        <f>IF(N1073="",0,N1073*K1073/'9b-Vloeronderhoud'!$F$4)</f>
        <v>0</v>
      </c>
      <c r="P1073" s="672"/>
      <c r="Q1073" s="729" t="e">
        <f>IF(O1073="",0,P1073*L1073/'9b-Vloeronderhoud'!$F$6)</f>
        <v>#DIV/0!</v>
      </c>
      <c r="R1073" s="449">
        <v>1</v>
      </c>
      <c r="S1073" s="672" t="s">
        <v>179</v>
      </c>
      <c r="T1073" s="161">
        <f t="shared" si="86"/>
        <v>0</v>
      </c>
      <c r="U1073" s="162">
        <f>IF(S1073="nio",0,IF(S1073&gt;0,VLOOKUP(G1073,'3-Productie normen'!A:K,VLOOKUP(S1073,'3-Productie normen'!L:N,3,FALSE),FALSE)))</f>
        <v>0</v>
      </c>
      <c r="V1073" s="162">
        <f>VLOOKUP(G1073,'3-Productie normen'!A:K,10,FALSE)</f>
        <v>5262.809993648526</v>
      </c>
      <c r="W1073" s="163">
        <f>VLOOKUP(G1073,'3-Productie normen'!A:K,11,FALSE)</f>
        <v>0</v>
      </c>
      <c r="X1073" s="163"/>
      <c r="Z1073" s="129">
        <f t="shared" si="87"/>
        <v>0</v>
      </c>
    </row>
    <row r="1074" spans="1:26" ht="14.1" customHeight="1">
      <c r="A1074" s="144">
        <v>1112</v>
      </c>
      <c r="B1074" s="485" t="s">
        <v>256</v>
      </c>
      <c r="C1074" s="303" t="s">
        <v>804</v>
      </c>
      <c r="D1074" s="304" t="s">
        <v>98</v>
      </c>
      <c r="E1074" s="694" t="s">
        <v>318</v>
      </c>
      <c r="F1074" s="303" t="s">
        <v>297</v>
      </c>
      <c r="G1074" s="303" t="s">
        <v>189</v>
      </c>
      <c r="H1074" s="303" t="s">
        <v>332</v>
      </c>
      <c r="I1074" s="582" t="str">
        <f>VLOOKUP(H1074,'9a-Typen vloeren'!$A$10:$B$40,2,FALSE)</f>
        <v>Sproei/extraheren</v>
      </c>
      <c r="J1074" s="433">
        <v>17.700000762939453</v>
      </c>
      <c r="K1074" s="433">
        <f t="shared" si="83"/>
        <v>0</v>
      </c>
      <c r="L1074" s="433">
        <f t="shared" si="84"/>
        <v>0</v>
      </c>
      <c r="M1074" s="433">
        <f t="shared" si="85"/>
        <v>17.700000762939453</v>
      </c>
      <c r="N1074" s="672"/>
      <c r="O1074" s="729">
        <f>IF(N1074="",0,N1074*K1074/'9b-Vloeronderhoud'!$F$4)</f>
        <v>0</v>
      </c>
      <c r="P1074" s="672"/>
      <c r="Q1074" s="729" t="e">
        <f>IF(O1074="",0,P1074*L1074/'9b-Vloeronderhoud'!$F$6)</f>
        <v>#DIV/0!</v>
      </c>
      <c r="R1074" s="449">
        <v>1</v>
      </c>
      <c r="S1074" s="672">
        <v>40</v>
      </c>
      <c r="T1074" s="161" t="e">
        <f t="shared" si="86"/>
        <v>#DIV/0!</v>
      </c>
      <c r="U1074" s="162">
        <f>IF(S1074="nio",0,IF(S1074&gt;0,VLOOKUP(G1074,'3-Productie normen'!A:K,VLOOKUP(S1074,'3-Productie normen'!L:N,3,FALSE),FALSE)))</f>
        <v>0</v>
      </c>
      <c r="V1074" s="162">
        <f>VLOOKUP(G1074,'3-Productie normen'!A:K,10,FALSE)</f>
        <v>1494.1700078582762</v>
      </c>
      <c r="W1074" s="163">
        <f>VLOOKUP(G1074,'3-Productie normen'!A:K,11,FALSE)</f>
        <v>0</v>
      </c>
      <c r="X1074" s="163"/>
      <c r="Z1074" s="129">
        <f t="shared" si="87"/>
        <v>708.00003051757813</v>
      </c>
    </row>
    <row r="1075" spans="1:26" ht="14.1" customHeight="1">
      <c r="A1075" s="144">
        <v>1113</v>
      </c>
      <c r="B1075" s="485" t="s">
        <v>256</v>
      </c>
      <c r="C1075" s="303" t="s">
        <v>804</v>
      </c>
      <c r="D1075" s="304" t="s">
        <v>98</v>
      </c>
      <c r="E1075" s="694" t="s">
        <v>407</v>
      </c>
      <c r="F1075" s="303" t="s">
        <v>283</v>
      </c>
      <c r="G1075" s="460" t="s">
        <v>286</v>
      </c>
      <c r="H1075" s="303" t="s">
        <v>100</v>
      </c>
      <c r="I1075" s="582" t="str">
        <f>VLOOKUP(H1075,'9a-Typen vloeren'!$A$10:$B$40,2,FALSE)</f>
        <v>Sprayen/ conserveren</v>
      </c>
      <c r="J1075" s="433">
        <v>24</v>
      </c>
      <c r="K1075" s="433">
        <f t="shared" si="83"/>
        <v>24</v>
      </c>
      <c r="L1075" s="433">
        <f t="shared" si="84"/>
        <v>0</v>
      </c>
      <c r="M1075" s="433">
        <f t="shared" si="85"/>
        <v>0</v>
      </c>
      <c r="N1075" s="672">
        <v>2</v>
      </c>
      <c r="O1075" s="729" t="e">
        <f>IF(N1075="",0,N1075*K1075/'9b-Vloeronderhoud'!$F$4)</f>
        <v>#DIV/0!</v>
      </c>
      <c r="P1075" s="672"/>
      <c r="Q1075" s="729" t="e">
        <f>IF(O1075="",0,P1075*L1075/'9b-Vloeronderhoud'!$F$6)</f>
        <v>#DIV/0!</v>
      </c>
      <c r="R1075" s="449">
        <v>1</v>
      </c>
      <c r="S1075" s="672">
        <v>120</v>
      </c>
      <c r="T1075" s="161" t="e">
        <f t="shared" si="86"/>
        <v>#DIV/0!</v>
      </c>
      <c r="U1075" s="162">
        <f>IF(S1075="nio",0,IF(S1075&gt;0,VLOOKUP(G1075,'3-Productie normen'!A:K,VLOOKUP(S1075,'3-Productie normen'!L:N,3,FALSE),FALSE)))</f>
        <v>0</v>
      </c>
      <c r="V1075" s="162">
        <f>VLOOKUP(G1075,'3-Productie normen'!A:K,10,FALSE)</f>
        <v>6152.9500017547598</v>
      </c>
      <c r="W1075" s="163">
        <f>VLOOKUP(G1075,'3-Productie normen'!A:K,11,FALSE)</f>
        <v>0</v>
      </c>
      <c r="X1075" s="163"/>
      <c r="Z1075" s="129">
        <f t="shared" si="87"/>
        <v>2880</v>
      </c>
    </row>
    <row r="1076" spans="1:26" ht="14.1" customHeight="1">
      <c r="A1076" s="144">
        <v>1114</v>
      </c>
      <c r="B1076" s="485" t="s">
        <v>256</v>
      </c>
      <c r="C1076" s="303" t="s">
        <v>804</v>
      </c>
      <c r="D1076" s="304" t="s">
        <v>98</v>
      </c>
      <c r="E1076" s="694" t="s">
        <v>319</v>
      </c>
      <c r="F1076" s="303" t="s">
        <v>535</v>
      </c>
      <c r="G1076" s="460" t="s">
        <v>191</v>
      </c>
      <c r="H1076" s="303" t="s">
        <v>100</v>
      </c>
      <c r="I1076" s="582" t="str">
        <f>VLOOKUP(H1076,'9a-Typen vloeren'!$A$10:$B$40,2,FALSE)</f>
        <v>Sprayen/ conserveren</v>
      </c>
      <c r="J1076" s="433">
        <v>9.6999998092651367</v>
      </c>
      <c r="K1076" s="433">
        <f t="shared" si="83"/>
        <v>9.6999998092651367</v>
      </c>
      <c r="L1076" s="433">
        <f t="shared" si="84"/>
        <v>0</v>
      </c>
      <c r="M1076" s="433">
        <f t="shared" si="85"/>
        <v>0</v>
      </c>
      <c r="N1076" s="672"/>
      <c r="O1076" s="729">
        <f>IF(N1076="",0,N1076*K1076/'9b-Vloeronderhoud'!$F$4)</f>
        <v>0</v>
      </c>
      <c r="P1076" s="672"/>
      <c r="Q1076" s="729" t="e">
        <f>IF(O1076="",0,P1076*L1076/'9b-Vloeronderhoud'!$F$6)</f>
        <v>#DIV/0!</v>
      </c>
      <c r="R1076" s="449">
        <v>1</v>
      </c>
      <c r="S1076" s="672">
        <v>40</v>
      </c>
      <c r="T1076" s="161" t="e">
        <f t="shared" si="86"/>
        <v>#DIV/0!</v>
      </c>
      <c r="U1076" s="162">
        <f>IF(S1076="nio",0,IF(S1076&gt;0,VLOOKUP(G1076,'3-Productie normen'!A:K,VLOOKUP(S1076,'3-Productie normen'!L:N,3,FALSE),FALSE)))</f>
        <v>0</v>
      </c>
      <c r="V1076" s="162">
        <f>VLOOKUP(G1076,'3-Productie normen'!A:K,10,FALSE)</f>
        <v>314.55999933242794</v>
      </c>
      <c r="W1076" s="163">
        <f>VLOOKUP(G1076,'3-Productie normen'!A:K,11,FALSE)</f>
        <v>0</v>
      </c>
      <c r="X1076" s="163"/>
      <c r="Z1076" s="129">
        <f t="shared" si="87"/>
        <v>387.99999237060547</v>
      </c>
    </row>
    <row r="1077" spans="1:26" ht="14.1" customHeight="1">
      <c r="A1077" s="144">
        <v>1115</v>
      </c>
      <c r="B1077" s="485" t="s">
        <v>256</v>
      </c>
      <c r="C1077" s="303" t="s">
        <v>804</v>
      </c>
      <c r="D1077" s="304" t="s">
        <v>98</v>
      </c>
      <c r="E1077" s="694" t="s">
        <v>317</v>
      </c>
      <c r="F1077" s="303" t="s">
        <v>350</v>
      </c>
      <c r="G1077" s="126" t="s">
        <v>299</v>
      </c>
      <c r="H1077" s="303" t="s">
        <v>100</v>
      </c>
      <c r="I1077" s="582" t="str">
        <f>VLOOKUP(H1077,'9a-Typen vloeren'!$A$10:$B$40,2,FALSE)</f>
        <v>Sprayen/ conserveren</v>
      </c>
      <c r="J1077" s="433">
        <v>29.700000762939453</v>
      </c>
      <c r="K1077" s="433">
        <f t="shared" si="83"/>
        <v>29.700000762939453</v>
      </c>
      <c r="L1077" s="433">
        <f t="shared" si="84"/>
        <v>0</v>
      </c>
      <c r="M1077" s="433">
        <f t="shared" si="85"/>
        <v>0</v>
      </c>
      <c r="N1077" s="672"/>
      <c r="O1077" s="729">
        <f>IF(N1077="",0,N1077*K1077/'9b-Vloeronderhoud'!$F$4)</f>
        <v>0</v>
      </c>
      <c r="P1077" s="672"/>
      <c r="Q1077" s="729" t="e">
        <f>IF(O1077="",0,P1077*L1077/'9b-Vloeronderhoud'!$F$6)</f>
        <v>#DIV/0!</v>
      </c>
      <c r="R1077" s="449">
        <v>1</v>
      </c>
      <c r="S1077" s="672">
        <v>40</v>
      </c>
      <c r="T1077" s="161" t="e">
        <f t="shared" si="86"/>
        <v>#DIV/0!</v>
      </c>
      <c r="U1077" s="162">
        <f>IF(S1077="nio",0,IF(S1077&gt;0,VLOOKUP(G1077,'3-Productie normen'!A:K,VLOOKUP(S1077,'3-Productie normen'!L:N,3,FALSE),FALSE)))</f>
        <v>0</v>
      </c>
      <c r="V1077" s="162">
        <f>VLOOKUP(G1077,'3-Productie normen'!A:K,10,FALSE)</f>
        <v>1107.9100014114381</v>
      </c>
      <c r="W1077" s="163">
        <f>VLOOKUP(G1077,'3-Productie normen'!A:K,11,FALSE)</f>
        <v>0</v>
      </c>
      <c r="X1077" s="163"/>
      <c r="Z1077" s="129">
        <f t="shared" si="87"/>
        <v>1188.0000305175781</v>
      </c>
    </row>
    <row r="1078" spans="1:26" ht="14.1" customHeight="1">
      <c r="A1078" s="144">
        <v>1116</v>
      </c>
      <c r="B1078" s="485" t="s">
        <v>256</v>
      </c>
      <c r="C1078" s="303" t="s">
        <v>804</v>
      </c>
      <c r="D1078" s="304" t="s">
        <v>98</v>
      </c>
      <c r="E1078" s="694" t="s">
        <v>314</v>
      </c>
      <c r="F1078" s="303" t="s">
        <v>353</v>
      </c>
      <c r="G1078" s="460" t="s">
        <v>421</v>
      </c>
      <c r="H1078" s="303" t="s">
        <v>100</v>
      </c>
      <c r="I1078" s="582" t="str">
        <f>VLOOKUP(H1078,'9a-Typen vloeren'!$A$10:$B$40,2,FALSE)</f>
        <v>Sprayen/ conserveren</v>
      </c>
      <c r="J1078" s="433">
        <v>58</v>
      </c>
      <c r="K1078" s="433">
        <f t="shared" si="83"/>
        <v>58</v>
      </c>
      <c r="L1078" s="433">
        <f t="shared" si="84"/>
        <v>0</v>
      </c>
      <c r="M1078" s="433">
        <f t="shared" si="85"/>
        <v>0</v>
      </c>
      <c r="N1078" s="672"/>
      <c r="O1078" s="729">
        <f>IF(N1078="",0,N1078*K1078/'9b-Vloeronderhoud'!$F$4)</f>
        <v>0</v>
      </c>
      <c r="P1078" s="672"/>
      <c r="Q1078" s="729" t="e">
        <f>IF(O1078="",0,P1078*L1078/'9b-Vloeronderhoud'!$F$6)</f>
        <v>#DIV/0!</v>
      </c>
      <c r="R1078" s="449">
        <v>1</v>
      </c>
      <c r="S1078" s="672">
        <v>40</v>
      </c>
      <c r="T1078" s="161" t="e">
        <f t="shared" si="86"/>
        <v>#DIV/0!</v>
      </c>
      <c r="U1078" s="162">
        <f>IF(S1078="nio",0,IF(S1078&gt;0,VLOOKUP(G1078,'3-Productie normen'!A:K,VLOOKUP(S1078,'3-Productie normen'!L:N,3,FALSE),FALSE)))</f>
        <v>0</v>
      </c>
      <c r="V1078" s="162">
        <f>VLOOKUP(G1078,'3-Productie normen'!A:K,10,FALSE)</f>
        <v>865.11000061035156</v>
      </c>
      <c r="W1078" s="163">
        <f>VLOOKUP(G1078,'3-Productie normen'!A:K,11,FALSE)</f>
        <v>0</v>
      </c>
      <c r="X1078" s="163"/>
      <c r="Z1078" s="129">
        <f t="shared" si="87"/>
        <v>2320</v>
      </c>
    </row>
    <row r="1079" spans="1:26" ht="14.1" customHeight="1">
      <c r="A1079" s="144">
        <v>1117</v>
      </c>
      <c r="B1079" s="485" t="s">
        <v>256</v>
      </c>
      <c r="C1079" s="303" t="s">
        <v>804</v>
      </c>
      <c r="D1079" s="304" t="s">
        <v>98</v>
      </c>
      <c r="E1079" s="694" t="s">
        <v>325</v>
      </c>
      <c r="F1079" s="303" t="s">
        <v>302</v>
      </c>
      <c r="G1079" s="122" t="s">
        <v>18</v>
      </c>
      <c r="H1079" s="534" t="s">
        <v>954</v>
      </c>
      <c r="I1079" s="582" t="str">
        <f>VLOOKUP(H1079,'9a-Typen vloeren'!$A$10:$B$40,2,FALSE)</f>
        <v>zie kwaliteitsontwerp</v>
      </c>
      <c r="J1079" s="433">
        <v>3</v>
      </c>
      <c r="K1079" s="433">
        <f t="shared" ref="K1079:K1142" si="88">IF(G1079="niet in onderhoud",0,IF(I1079="sprayen/ conserveren",J1079,0))</f>
        <v>0</v>
      </c>
      <c r="L1079" s="433">
        <f t="shared" ref="L1079:L1142" si="89">IF(G1079="niet in onderhoud",0,IF(I1079="schrobben",J1079,0))</f>
        <v>0</v>
      </c>
      <c r="M1079" s="433">
        <f t="shared" ref="M1079:M1142" si="90">IF(G1079="niet in onderhoud",0,IF(I1079="Sproei/extraheren",J1079,0))</f>
        <v>0</v>
      </c>
      <c r="N1079" s="672"/>
      <c r="O1079" s="729">
        <f>IF(N1079="",0,N1079*K1079/'9b-Vloeronderhoud'!$F$4)</f>
        <v>0</v>
      </c>
      <c r="P1079" s="672"/>
      <c r="Q1079" s="729" t="e">
        <f>IF(O1079="",0,P1079*L1079/'9b-Vloeronderhoud'!$F$6)</f>
        <v>#DIV/0!</v>
      </c>
      <c r="R1079" s="449">
        <v>1</v>
      </c>
      <c r="S1079" s="672">
        <v>190</v>
      </c>
      <c r="T1079" s="161" t="e">
        <f t="shared" si="86"/>
        <v>#DIV/0!</v>
      </c>
      <c r="U1079" s="162">
        <f>IF(S1079="nio",0,IF(S1079&gt;0,VLOOKUP(G1079,'3-Productie normen'!A:K,VLOOKUP(S1079,'3-Productie normen'!L:N,3,FALSE),FALSE)))</f>
        <v>0</v>
      </c>
      <c r="V1079" s="162">
        <f>VLOOKUP(G1079,'3-Productie normen'!A:K,10,FALSE)</f>
        <v>1859.5880019121171</v>
      </c>
      <c r="W1079" s="163">
        <f>VLOOKUP(G1079,'3-Productie normen'!A:K,11,FALSE)</f>
        <v>0</v>
      </c>
      <c r="X1079" s="163"/>
      <c r="Z1079" s="129">
        <f t="shared" si="87"/>
        <v>570</v>
      </c>
    </row>
    <row r="1080" spans="1:26" ht="14.1" customHeight="1">
      <c r="A1080" s="144">
        <v>1118</v>
      </c>
      <c r="B1080" s="485" t="s">
        <v>256</v>
      </c>
      <c r="C1080" s="303" t="s">
        <v>804</v>
      </c>
      <c r="D1080" s="304" t="s">
        <v>98</v>
      </c>
      <c r="E1080" s="694" t="s">
        <v>320</v>
      </c>
      <c r="F1080" s="126" t="s">
        <v>348</v>
      </c>
      <c r="G1080" s="460" t="s">
        <v>881</v>
      </c>
      <c r="H1080" s="303" t="s">
        <v>100</v>
      </c>
      <c r="I1080" s="582" t="str">
        <f>VLOOKUP(H1080,'9a-Typen vloeren'!$A$10:$B$40,2,FALSE)</f>
        <v>Sprayen/ conserveren</v>
      </c>
      <c r="J1080" s="433">
        <v>14</v>
      </c>
      <c r="K1080" s="433">
        <f t="shared" si="88"/>
        <v>0</v>
      </c>
      <c r="L1080" s="433">
        <f t="shared" si="89"/>
        <v>0</v>
      </c>
      <c r="M1080" s="433">
        <f t="shared" si="90"/>
        <v>0</v>
      </c>
      <c r="N1080" s="672"/>
      <c r="O1080" s="729">
        <f>IF(N1080="",0,N1080*K1080/'9b-Vloeronderhoud'!$F$4)</f>
        <v>0</v>
      </c>
      <c r="P1080" s="672"/>
      <c r="Q1080" s="729" t="e">
        <f>IF(O1080="",0,P1080*L1080/'9b-Vloeronderhoud'!$F$6)</f>
        <v>#DIV/0!</v>
      </c>
      <c r="R1080" s="449">
        <v>1</v>
      </c>
      <c r="S1080" s="672" t="s">
        <v>179</v>
      </c>
      <c r="T1080" s="161">
        <f t="shared" si="86"/>
        <v>0</v>
      </c>
      <c r="U1080" s="162">
        <f>IF(S1080="nio",0,IF(S1080&gt;0,VLOOKUP(G1080,'3-Productie normen'!A:K,VLOOKUP(S1080,'3-Productie normen'!L:N,3,FALSE),FALSE)))</f>
        <v>0</v>
      </c>
      <c r="V1080" s="162">
        <f>VLOOKUP(G1080,'3-Productie normen'!A:K,10,FALSE)</f>
        <v>5262.809993648526</v>
      </c>
      <c r="W1080" s="163">
        <f>VLOOKUP(G1080,'3-Productie normen'!A:K,11,FALSE)</f>
        <v>0</v>
      </c>
      <c r="X1080" s="163"/>
      <c r="Z1080" s="129">
        <f t="shared" si="87"/>
        <v>0</v>
      </c>
    </row>
    <row r="1081" spans="1:26" ht="14.1" customHeight="1">
      <c r="A1081" s="144">
        <v>1119</v>
      </c>
      <c r="B1081" s="485" t="s">
        <v>256</v>
      </c>
      <c r="C1081" s="303" t="s">
        <v>804</v>
      </c>
      <c r="D1081" s="304" t="s">
        <v>98</v>
      </c>
      <c r="E1081" s="694" t="s">
        <v>321</v>
      </c>
      <c r="F1081" s="303" t="s">
        <v>290</v>
      </c>
      <c r="G1081" s="122" t="s">
        <v>190</v>
      </c>
      <c r="H1081" s="303" t="s">
        <v>100</v>
      </c>
      <c r="I1081" s="582" t="str">
        <f>VLOOKUP(H1081,'9a-Typen vloeren'!$A$10:$B$40,2,FALSE)</f>
        <v>Sprayen/ conserveren</v>
      </c>
      <c r="J1081" s="433">
        <v>8.1999998092651367</v>
      </c>
      <c r="K1081" s="433">
        <f t="shared" si="88"/>
        <v>8.1999998092651367</v>
      </c>
      <c r="L1081" s="433">
        <f t="shared" si="89"/>
        <v>0</v>
      </c>
      <c r="M1081" s="433">
        <f t="shared" si="90"/>
        <v>0</v>
      </c>
      <c r="N1081" s="672">
        <v>2</v>
      </c>
      <c r="O1081" s="729" t="e">
        <f>IF(N1081="",0,N1081*K1081/'9b-Vloeronderhoud'!$F$4)</f>
        <v>#DIV/0!</v>
      </c>
      <c r="P1081" s="672"/>
      <c r="Q1081" s="729" t="e">
        <f>IF(O1081="",0,P1081*L1081/'9b-Vloeronderhoud'!$F$6)</f>
        <v>#DIV/0!</v>
      </c>
      <c r="R1081" s="449">
        <v>1</v>
      </c>
      <c r="S1081" s="672">
        <v>40</v>
      </c>
      <c r="T1081" s="161" t="e">
        <f t="shared" si="86"/>
        <v>#DIV/0!</v>
      </c>
      <c r="U1081" s="162">
        <f>IF(S1081="nio",0,IF(S1081&gt;0,VLOOKUP(G1081,'3-Productie normen'!A:K,VLOOKUP(S1081,'3-Productie normen'!L:N,3,FALSE),FALSE)))</f>
        <v>0</v>
      </c>
      <c r="V1081" s="162">
        <f>VLOOKUP(G1081,'3-Productie normen'!A:K,10,FALSE)</f>
        <v>281.65000052452086</v>
      </c>
      <c r="W1081" s="163">
        <f>VLOOKUP(G1081,'3-Productie normen'!A:K,11,FALSE)</f>
        <v>0</v>
      </c>
      <c r="X1081" s="163"/>
      <c r="Z1081" s="129">
        <f t="shared" si="87"/>
        <v>327.99999237060547</v>
      </c>
    </row>
    <row r="1082" spans="1:26" ht="14.1" customHeight="1">
      <c r="A1082" s="144">
        <v>1120</v>
      </c>
      <c r="B1082" s="485" t="s">
        <v>256</v>
      </c>
      <c r="C1082" s="303" t="s">
        <v>804</v>
      </c>
      <c r="D1082" s="304" t="s">
        <v>98</v>
      </c>
      <c r="E1082" s="694" t="s">
        <v>323</v>
      </c>
      <c r="F1082" s="303" t="s">
        <v>302</v>
      </c>
      <c r="G1082" s="122" t="s">
        <v>18</v>
      </c>
      <c r="H1082" s="534" t="s">
        <v>954</v>
      </c>
      <c r="I1082" s="582" t="str">
        <f>VLOOKUP(H1082,'9a-Typen vloeren'!$A$10:$B$40,2,FALSE)</f>
        <v>zie kwaliteitsontwerp</v>
      </c>
      <c r="J1082" s="433">
        <v>11.600000381469727</v>
      </c>
      <c r="K1082" s="433">
        <f t="shared" si="88"/>
        <v>0</v>
      </c>
      <c r="L1082" s="433">
        <f t="shared" si="89"/>
        <v>0</v>
      </c>
      <c r="M1082" s="433">
        <f t="shared" si="90"/>
        <v>0</v>
      </c>
      <c r="N1082" s="672"/>
      <c r="O1082" s="729">
        <f>IF(N1082="",0,N1082*K1082/'9b-Vloeronderhoud'!$F$4)</f>
        <v>0</v>
      </c>
      <c r="P1082" s="672"/>
      <c r="Q1082" s="729" t="e">
        <f>IF(O1082="",0,P1082*L1082/'9b-Vloeronderhoud'!$F$6)</f>
        <v>#DIV/0!</v>
      </c>
      <c r="R1082" s="449">
        <v>1</v>
      </c>
      <c r="S1082" s="672">
        <v>190</v>
      </c>
      <c r="T1082" s="161" t="e">
        <f t="shared" si="86"/>
        <v>#DIV/0!</v>
      </c>
      <c r="U1082" s="162">
        <f>IF(S1082="nio",0,IF(S1082&gt;0,VLOOKUP(G1082,'3-Productie normen'!A:K,VLOOKUP(S1082,'3-Productie normen'!L:N,3,FALSE),FALSE)))</f>
        <v>0</v>
      </c>
      <c r="V1082" s="162">
        <f>VLOOKUP(G1082,'3-Productie normen'!A:K,10,FALSE)</f>
        <v>1859.5880019121171</v>
      </c>
      <c r="W1082" s="163">
        <f>VLOOKUP(G1082,'3-Productie normen'!A:K,11,FALSE)</f>
        <v>0</v>
      </c>
      <c r="X1082" s="163"/>
      <c r="Z1082" s="129">
        <f t="shared" si="87"/>
        <v>2204.000072479248</v>
      </c>
    </row>
    <row r="1083" spans="1:26" ht="14.1" customHeight="1">
      <c r="A1083" s="144">
        <v>1121</v>
      </c>
      <c r="B1083" s="485" t="s">
        <v>256</v>
      </c>
      <c r="C1083" s="303" t="s">
        <v>804</v>
      </c>
      <c r="D1083" s="304" t="s">
        <v>98</v>
      </c>
      <c r="E1083" s="694" t="s">
        <v>521</v>
      </c>
      <c r="F1083" s="303" t="s">
        <v>801</v>
      </c>
      <c r="G1083" s="460" t="s">
        <v>881</v>
      </c>
      <c r="H1083" s="303" t="s">
        <v>803</v>
      </c>
      <c r="I1083" s="582" t="str">
        <f>VLOOKUP(H1083,'9a-Typen vloeren'!$A$10:$B$40,2,FALSE)</f>
        <v>n.v.t.</v>
      </c>
      <c r="J1083" s="433">
        <v>67.099998474121094</v>
      </c>
      <c r="K1083" s="433">
        <f t="shared" si="88"/>
        <v>0</v>
      </c>
      <c r="L1083" s="433">
        <f t="shared" si="89"/>
        <v>0</v>
      </c>
      <c r="M1083" s="433">
        <f t="shared" si="90"/>
        <v>0</v>
      </c>
      <c r="N1083" s="672"/>
      <c r="O1083" s="729">
        <f>IF(N1083="",0,N1083*K1083/'9b-Vloeronderhoud'!$F$4)</f>
        <v>0</v>
      </c>
      <c r="P1083" s="672"/>
      <c r="Q1083" s="729" t="e">
        <f>IF(O1083="",0,P1083*L1083/'9b-Vloeronderhoud'!$F$6)</f>
        <v>#DIV/0!</v>
      </c>
      <c r="R1083" s="449">
        <v>1</v>
      </c>
      <c r="S1083" s="672" t="s">
        <v>179</v>
      </c>
      <c r="T1083" s="161">
        <f t="shared" si="86"/>
        <v>0</v>
      </c>
      <c r="U1083" s="162">
        <f>IF(S1083="nio",0,IF(S1083&gt;0,VLOOKUP(G1083,'3-Productie normen'!A:K,VLOOKUP(S1083,'3-Productie normen'!L:N,3,FALSE),FALSE)))</f>
        <v>0</v>
      </c>
      <c r="V1083" s="162">
        <f>VLOOKUP(G1083,'3-Productie normen'!A:K,10,FALSE)</f>
        <v>5262.809993648526</v>
      </c>
      <c r="W1083" s="163">
        <f>VLOOKUP(G1083,'3-Productie normen'!A:K,11,FALSE)</f>
        <v>0</v>
      </c>
      <c r="X1083" s="163"/>
      <c r="Z1083" s="129">
        <f t="shared" si="87"/>
        <v>0</v>
      </c>
    </row>
    <row r="1084" spans="1:26" ht="14.1" customHeight="1">
      <c r="A1084" s="144">
        <v>1122</v>
      </c>
      <c r="B1084" s="485" t="s">
        <v>256</v>
      </c>
      <c r="C1084" s="303" t="s">
        <v>804</v>
      </c>
      <c r="D1084" s="304" t="s">
        <v>98</v>
      </c>
      <c r="E1084" s="694" t="s">
        <v>329</v>
      </c>
      <c r="F1084" s="303" t="s">
        <v>304</v>
      </c>
      <c r="G1084" s="460" t="s">
        <v>18</v>
      </c>
      <c r="H1084" s="534" t="s">
        <v>954</v>
      </c>
      <c r="I1084" s="582" t="str">
        <f>VLOOKUP(H1084,'9a-Typen vloeren'!$A$10:$B$40,2,FALSE)</f>
        <v>zie kwaliteitsontwerp</v>
      </c>
      <c r="J1084" s="433">
        <v>5.8000001907348633</v>
      </c>
      <c r="K1084" s="433">
        <f t="shared" si="88"/>
        <v>0</v>
      </c>
      <c r="L1084" s="433">
        <f t="shared" si="89"/>
        <v>0</v>
      </c>
      <c r="M1084" s="433">
        <f t="shared" si="90"/>
        <v>0</v>
      </c>
      <c r="N1084" s="672"/>
      <c r="O1084" s="729">
        <f>IF(N1084="",0,N1084*K1084/'9b-Vloeronderhoud'!$F$4)</f>
        <v>0</v>
      </c>
      <c r="P1084" s="672"/>
      <c r="Q1084" s="729" t="e">
        <f>IF(O1084="",0,P1084*L1084/'9b-Vloeronderhoud'!$F$6)</f>
        <v>#DIV/0!</v>
      </c>
      <c r="R1084" s="449">
        <v>1</v>
      </c>
      <c r="S1084" s="672">
        <v>190</v>
      </c>
      <c r="T1084" s="161" t="e">
        <f t="shared" si="86"/>
        <v>#DIV/0!</v>
      </c>
      <c r="U1084" s="162">
        <f>IF(S1084="nio",0,IF(S1084&gt;0,VLOOKUP(G1084,'3-Productie normen'!A:K,VLOOKUP(S1084,'3-Productie normen'!L:N,3,FALSE),FALSE)))</f>
        <v>0</v>
      </c>
      <c r="V1084" s="162">
        <f>VLOOKUP(G1084,'3-Productie normen'!A:K,10,FALSE)</f>
        <v>1859.5880019121171</v>
      </c>
      <c r="W1084" s="163">
        <f>VLOOKUP(G1084,'3-Productie normen'!A:K,11,FALSE)</f>
        <v>0</v>
      </c>
      <c r="X1084" s="163"/>
      <c r="Z1084" s="129">
        <f t="shared" si="87"/>
        <v>1102.000036239624</v>
      </c>
    </row>
    <row r="1085" spans="1:26" ht="14.1" customHeight="1">
      <c r="A1085" s="144">
        <v>1123</v>
      </c>
      <c r="B1085" s="485" t="s">
        <v>256</v>
      </c>
      <c r="C1085" s="303" t="s">
        <v>804</v>
      </c>
      <c r="D1085" s="304" t="s">
        <v>98</v>
      </c>
      <c r="E1085" s="694" t="s">
        <v>328</v>
      </c>
      <c r="F1085" s="494" t="s">
        <v>379</v>
      </c>
      <c r="G1085" s="460" t="s">
        <v>881</v>
      </c>
      <c r="H1085" s="303" t="s">
        <v>100</v>
      </c>
      <c r="I1085" s="582" t="str">
        <f>VLOOKUP(H1085,'9a-Typen vloeren'!$A$10:$B$40,2,FALSE)</f>
        <v>Sprayen/ conserveren</v>
      </c>
      <c r="J1085" s="433">
        <v>9.3000001907348633</v>
      </c>
      <c r="K1085" s="433">
        <f t="shared" si="88"/>
        <v>0</v>
      </c>
      <c r="L1085" s="433">
        <f t="shared" si="89"/>
        <v>0</v>
      </c>
      <c r="M1085" s="433">
        <f t="shared" si="90"/>
        <v>0</v>
      </c>
      <c r="N1085" s="672"/>
      <c r="O1085" s="729">
        <f>IF(N1085="",0,N1085*K1085/'9b-Vloeronderhoud'!$F$4)</f>
        <v>0</v>
      </c>
      <c r="P1085" s="672"/>
      <c r="Q1085" s="729" t="e">
        <f>IF(O1085="",0,P1085*L1085/'9b-Vloeronderhoud'!$F$6)</f>
        <v>#DIV/0!</v>
      </c>
      <c r="R1085" s="449">
        <v>1</v>
      </c>
      <c r="S1085" s="672" t="s">
        <v>179</v>
      </c>
      <c r="T1085" s="161">
        <f t="shared" si="86"/>
        <v>0</v>
      </c>
      <c r="U1085" s="162">
        <f>IF(S1085="nio",0,IF(S1085&gt;0,VLOOKUP(G1085,'3-Productie normen'!A:K,VLOOKUP(S1085,'3-Productie normen'!L:N,3,FALSE),FALSE)))</f>
        <v>0</v>
      </c>
      <c r="V1085" s="162">
        <f>VLOOKUP(G1085,'3-Productie normen'!A:K,10,FALSE)</f>
        <v>5262.809993648526</v>
      </c>
      <c r="W1085" s="163">
        <f>VLOOKUP(G1085,'3-Productie normen'!A:K,11,FALSE)</f>
        <v>0</v>
      </c>
      <c r="X1085" s="163"/>
      <c r="Z1085" s="129">
        <f t="shared" si="87"/>
        <v>0</v>
      </c>
    </row>
    <row r="1086" spans="1:26" ht="14.1" customHeight="1">
      <c r="A1086" s="144">
        <v>1124</v>
      </c>
      <c r="B1086" s="485" t="s">
        <v>256</v>
      </c>
      <c r="C1086" s="303" t="s">
        <v>804</v>
      </c>
      <c r="D1086" s="304" t="s">
        <v>98</v>
      </c>
      <c r="E1086" s="694" t="s">
        <v>326</v>
      </c>
      <c r="F1086" s="303" t="s">
        <v>490</v>
      </c>
      <c r="G1086" s="122" t="s">
        <v>286</v>
      </c>
      <c r="H1086" s="303" t="s">
        <v>100</v>
      </c>
      <c r="I1086" s="582" t="str">
        <f>VLOOKUP(H1086,'9a-Typen vloeren'!$A$10:$B$40,2,FALSE)</f>
        <v>Sprayen/ conserveren</v>
      </c>
      <c r="J1086" s="433">
        <v>10.800000190734863</v>
      </c>
      <c r="K1086" s="433">
        <f t="shared" si="88"/>
        <v>10.800000190734863</v>
      </c>
      <c r="L1086" s="433">
        <f t="shared" si="89"/>
        <v>0</v>
      </c>
      <c r="M1086" s="433">
        <f t="shared" si="90"/>
        <v>0</v>
      </c>
      <c r="N1086" s="672"/>
      <c r="O1086" s="729">
        <f>IF(N1086="",0,N1086*K1086/'9b-Vloeronderhoud'!$F$4)</f>
        <v>0</v>
      </c>
      <c r="P1086" s="672"/>
      <c r="Q1086" s="729" t="e">
        <f>IF(O1086="",0,P1086*L1086/'9b-Vloeronderhoud'!$F$6)</f>
        <v>#DIV/0!</v>
      </c>
      <c r="R1086" s="449">
        <v>1</v>
      </c>
      <c r="S1086" s="672">
        <v>80</v>
      </c>
      <c r="T1086" s="161" t="e">
        <f t="shared" si="86"/>
        <v>#DIV/0!</v>
      </c>
      <c r="U1086" s="162">
        <f>IF(S1086="nio",0,IF(S1086&gt;0,VLOOKUP(G1086,'3-Productie normen'!A:K,VLOOKUP(S1086,'3-Productie normen'!L:N,3,FALSE),FALSE)))</f>
        <v>0</v>
      </c>
      <c r="V1086" s="162">
        <f>VLOOKUP(G1086,'3-Productie normen'!A:K,10,FALSE)</f>
        <v>6152.9500017547598</v>
      </c>
      <c r="W1086" s="163">
        <f>VLOOKUP(G1086,'3-Productie normen'!A:K,11,FALSE)</f>
        <v>0</v>
      </c>
      <c r="X1086" s="163"/>
      <c r="Z1086" s="129">
        <f t="shared" si="87"/>
        <v>864.00001525878906</v>
      </c>
    </row>
    <row r="1087" spans="1:26" ht="14.1" customHeight="1">
      <c r="A1087" s="144">
        <v>1125</v>
      </c>
      <c r="B1087" s="485" t="s">
        <v>256</v>
      </c>
      <c r="C1087" s="303" t="s">
        <v>804</v>
      </c>
      <c r="D1087" s="304" t="s">
        <v>98</v>
      </c>
      <c r="E1087" s="694" t="s">
        <v>330</v>
      </c>
      <c r="F1087" s="303" t="s">
        <v>302</v>
      </c>
      <c r="G1087" s="303" t="s">
        <v>18</v>
      </c>
      <c r="H1087" s="534" t="s">
        <v>954</v>
      </c>
      <c r="I1087" s="582" t="str">
        <f>VLOOKUP(H1087,'9a-Typen vloeren'!$A$10:$B$40,2,FALSE)</f>
        <v>zie kwaliteitsontwerp</v>
      </c>
      <c r="J1087" s="433">
        <v>11.600000381469727</v>
      </c>
      <c r="K1087" s="433">
        <f t="shared" si="88"/>
        <v>0</v>
      </c>
      <c r="L1087" s="433">
        <f t="shared" si="89"/>
        <v>0</v>
      </c>
      <c r="M1087" s="433">
        <f t="shared" si="90"/>
        <v>0</v>
      </c>
      <c r="N1087" s="672"/>
      <c r="O1087" s="729">
        <f>IF(N1087="",0,N1087*K1087/'9b-Vloeronderhoud'!$F$4)</f>
        <v>0</v>
      </c>
      <c r="P1087" s="672"/>
      <c r="Q1087" s="729" t="e">
        <f>IF(O1087="",0,P1087*L1087/'9b-Vloeronderhoud'!$F$6)</f>
        <v>#DIV/0!</v>
      </c>
      <c r="R1087" s="449">
        <v>1</v>
      </c>
      <c r="S1087" s="672">
        <v>190</v>
      </c>
      <c r="T1087" s="161" t="e">
        <f t="shared" si="86"/>
        <v>#DIV/0!</v>
      </c>
      <c r="U1087" s="162">
        <f>IF(S1087="nio",0,IF(S1087&gt;0,VLOOKUP(G1087,'3-Productie normen'!A:K,VLOOKUP(S1087,'3-Productie normen'!L:N,3,FALSE),FALSE)))</f>
        <v>0</v>
      </c>
      <c r="V1087" s="162">
        <f>VLOOKUP(G1087,'3-Productie normen'!A:K,10,FALSE)</f>
        <v>1859.5880019121171</v>
      </c>
      <c r="W1087" s="163">
        <f>VLOOKUP(G1087,'3-Productie normen'!A:K,11,FALSE)</f>
        <v>0</v>
      </c>
      <c r="X1087" s="163"/>
      <c r="Z1087" s="129">
        <f t="shared" si="87"/>
        <v>2204.000072479248</v>
      </c>
    </row>
    <row r="1088" spans="1:26" ht="14.1" customHeight="1">
      <c r="A1088" s="144">
        <v>1126</v>
      </c>
      <c r="B1088" s="485" t="s">
        <v>256</v>
      </c>
      <c r="C1088" s="303" t="s">
        <v>804</v>
      </c>
      <c r="D1088" s="304" t="s">
        <v>98</v>
      </c>
      <c r="E1088" s="694" t="s">
        <v>331</v>
      </c>
      <c r="F1088" s="303" t="s">
        <v>281</v>
      </c>
      <c r="G1088" s="460" t="s">
        <v>881</v>
      </c>
      <c r="H1088" s="303" t="s">
        <v>101</v>
      </c>
      <c r="I1088" s="582" t="str">
        <f>VLOOKUP(H1088,'9a-Typen vloeren'!$A$10:$B$40,2,FALSE)</f>
        <v>Schrobben</v>
      </c>
      <c r="J1088" s="433">
        <v>4.5999999046325684</v>
      </c>
      <c r="K1088" s="433">
        <f t="shared" si="88"/>
        <v>0</v>
      </c>
      <c r="L1088" s="433">
        <f t="shared" si="89"/>
        <v>0</v>
      </c>
      <c r="M1088" s="433">
        <f t="shared" si="90"/>
        <v>0</v>
      </c>
      <c r="N1088" s="672"/>
      <c r="O1088" s="729">
        <f>IF(N1088="",0,N1088*K1088/'9b-Vloeronderhoud'!$F$4)</f>
        <v>0</v>
      </c>
      <c r="P1088" s="672"/>
      <c r="Q1088" s="729" t="e">
        <f>IF(O1088="",0,P1088*L1088/'9b-Vloeronderhoud'!$F$6)</f>
        <v>#DIV/0!</v>
      </c>
      <c r="R1088" s="449">
        <v>1</v>
      </c>
      <c r="S1088" s="672" t="s">
        <v>179</v>
      </c>
      <c r="T1088" s="161">
        <f t="shared" si="86"/>
        <v>0</v>
      </c>
      <c r="U1088" s="162">
        <f>IF(S1088="nio",0,IF(S1088&gt;0,VLOOKUP(G1088,'3-Productie normen'!A:K,VLOOKUP(S1088,'3-Productie normen'!L:N,3,FALSE),FALSE)))</f>
        <v>0</v>
      </c>
      <c r="V1088" s="162">
        <f>VLOOKUP(G1088,'3-Productie normen'!A:K,10,FALSE)</f>
        <v>5262.809993648526</v>
      </c>
      <c r="W1088" s="163">
        <f>VLOOKUP(G1088,'3-Productie normen'!A:K,11,FALSE)</f>
        <v>0</v>
      </c>
      <c r="X1088" s="163"/>
      <c r="Z1088" s="129">
        <f t="shared" si="87"/>
        <v>0</v>
      </c>
    </row>
    <row r="1089" spans="1:26" ht="14.1" customHeight="1">
      <c r="A1089" s="144">
        <v>1127</v>
      </c>
      <c r="B1089" s="485" t="s">
        <v>256</v>
      </c>
      <c r="C1089" s="303" t="s">
        <v>804</v>
      </c>
      <c r="D1089" s="304" t="s">
        <v>98</v>
      </c>
      <c r="E1089" s="694" t="s">
        <v>406</v>
      </c>
      <c r="F1089" s="303" t="s">
        <v>302</v>
      </c>
      <c r="G1089" s="460" t="s">
        <v>18</v>
      </c>
      <c r="H1089" s="534" t="s">
        <v>954</v>
      </c>
      <c r="I1089" s="582" t="str">
        <f>VLOOKUP(H1089,'9a-Typen vloeren'!$A$10:$B$40,2,FALSE)</f>
        <v>zie kwaliteitsontwerp</v>
      </c>
      <c r="J1089" s="433">
        <v>11.600000381469727</v>
      </c>
      <c r="K1089" s="433">
        <f t="shared" si="88"/>
        <v>0</v>
      </c>
      <c r="L1089" s="433">
        <f t="shared" si="89"/>
        <v>0</v>
      </c>
      <c r="M1089" s="433">
        <f t="shared" si="90"/>
        <v>0</v>
      </c>
      <c r="N1089" s="672"/>
      <c r="O1089" s="729">
        <f>IF(N1089="",0,N1089*K1089/'9b-Vloeronderhoud'!$F$4)</f>
        <v>0</v>
      </c>
      <c r="P1089" s="672"/>
      <c r="Q1089" s="729" t="e">
        <f>IF(O1089="",0,P1089*L1089/'9b-Vloeronderhoud'!$F$6)</f>
        <v>#DIV/0!</v>
      </c>
      <c r="R1089" s="449">
        <v>1</v>
      </c>
      <c r="S1089" s="672">
        <v>190</v>
      </c>
      <c r="T1089" s="161" t="e">
        <f t="shared" si="86"/>
        <v>#DIV/0!</v>
      </c>
      <c r="U1089" s="162">
        <f>IF(S1089="nio",0,IF(S1089&gt;0,VLOOKUP(G1089,'3-Productie normen'!A:K,VLOOKUP(S1089,'3-Productie normen'!L:N,3,FALSE),FALSE)))</f>
        <v>0</v>
      </c>
      <c r="V1089" s="162">
        <f>VLOOKUP(G1089,'3-Productie normen'!A:K,10,FALSE)</f>
        <v>1859.5880019121171</v>
      </c>
      <c r="W1089" s="163">
        <f>VLOOKUP(G1089,'3-Productie normen'!A:K,11,FALSE)</f>
        <v>0</v>
      </c>
      <c r="X1089" s="163"/>
      <c r="Z1089" s="129">
        <f t="shared" si="87"/>
        <v>2204.000072479248</v>
      </c>
    </row>
    <row r="1090" spans="1:26" ht="14.1" customHeight="1">
      <c r="A1090" s="144">
        <v>1128</v>
      </c>
      <c r="B1090" s="485" t="s">
        <v>252</v>
      </c>
      <c r="C1090" s="303" t="s">
        <v>746</v>
      </c>
      <c r="D1090" s="304" t="s">
        <v>98</v>
      </c>
      <c r="E1090" s="694" t="s">
        <v>294</v>
      </c>
      <c r="F1090" s="303" t="s">
        <v>747</v>
      </c>
      <c r="G1090" s="460" t="s">
        <v>881</v>
      </c>
      <c r="H1090" s="504" t="s">
        <v>375</v>
      </c>
      <c r="I1090" s="582" t="str">
        <f>VLOOKUP(H1090,'9a-Typen vloeren'!$A$10:$B$40,2,FALSE)</f>
        <v>n.v.t.</v>
      </c>
      <c r="J1090" s="433">
        <v>35</v>
      </c>
      <c r="K1090" s="433">
        <f t="shared" si="88"/>
        <v>0</v>
      </c>
      <c r="L1090" s="433">
        <f t="shared" si="89"/>
        <v>0</v>
      </c>
      <c r="M1090" s="433">
        <f t="shared" si="90"/>
        <v>0</v>
      </c>
      <c r="N1090" s="672"/>
      <c r="O1090" s="729">
        <f>IF(N1090="",0,N1090*K1090/'9b-Vloeronderhoud'!$F$4)</f>
        <v>0</v>
      </c>
      <c r="P1090" s="672"/>
      <c r="Q1090" s="729" t="e">
        <f>IF(O1090="",0,P1090*L1090/'9b-Vloeronderhoud'!$F$6)</f>
        <v>#DIV/0!</v>
      </c>
      <c r="R1090" s="449">
        <v>1</v>
      </c>
      <c r="S1090" s="672" t="s">
        <v>179</v>
      </c>
      <c r="T1090" s="161">
        <f t="shared" si="86"/>
        <v>0</v>
      </c>
      <c r="U1090" s="162">
        <f>IF(S1090="nio",0,IF(S1090&gt;0,VLOOKUP(G1090,'3-Productie normen'!A:K,VLOOKUP(S1090,'3-Productie normen'!L:N,3,FALSE),FALSE)))</f>
        <v>0</v>
      </c>
      <c r="V1090" s="162">
        <f>VLOOKUP(G1090,'3-Productie normen'!A:K,10,FALSE)</f>
        <v>5262.809993648526</v>
      </c>
      <c r="W1090" s="163">
        <f>VLOOKUP(G1090,'3-Productie normen'!A:K,11,FALSE)</f>
        <v>0</v>
      </c>
      <c r="X1090" s="163"/>
      <c r="Z1090" s="129">
        <f t="shared" si="87"/>
        <v>0</v>
      </c>
    </row>
    <row r="1091" spans="1:26" ht="14.1" customHeight="1">
      <c r="A1091" s="144">
        <v>1129</v>
      </c>
      <c r="B1091" s="485" t="s">
        <v>252</v>
      </c>
      <c r="C1091" s="303" t="s">
        <v>746</v>
      </c>
      <c r="D1091" s="304" t="s">
        <v>98</v>
      </c>
      <c r="E1091" s="694" t="s">
        <v>295</v>
      </c>
      <c r="F1091" s="303" t="s">
        <v>548</v>
      </c>
      <c r="G1091" s="642" t="s">
        <v>548</v>
      </c>
      <c r="H1091" s="504" t="s">
        <v>375</v>
      </c>
      <c r="I1091" s="582" t="str">
        <f>VLOOKUP(H1091,'9a-Typen vloeren'!$A$10:$B$40,2,FALSE)</f>
        <v>n.v.t.</v>
      </c>
      <c r="J1091" s="433">
        <v>246.3</v>
      </c>
      <c r="K1091" s="433">
        <f t="shared" si="88"/>
        <v>0</v>
      </c>
      <c r="L1091" s="433">
        <f t="shared" si="89"/>
        <v>0</v>
      </c>
      <c r="M1091" s="433">
        <f t="shared" si="90"/>
        <v>0</v>
      </c>
      <c r="N1091" s="672"/>
      <c r="O1091" s="729">
        <f>IF(N1091="",0,N1091*K1091/'9b-Vloeronderhoud'!$F$4)</f>
        <v>0</v>
      </c>
      <c r="P1091" s="672"/>
      <c r="Q1091" s="729" t="e">
        <f>IF(O1091="",0,P1091*L1091/'9b-Vloeronderhoud'!$F$6)</f>
        <v>#DIV/0!</v>
      </c>
      <c r="R1091" s="449">
        <v>1</v>
      </c>
      <c r="S1091" s="672">
        <v>80</v>
      </c>
      <c r="T1091" s="161" t="e">
        <f t="shared" si="86"/>
        <v>#DIV/0!</v>
      </c>
      <c r="U1091" s="162">
        <f>IF(S1091="nio",0,IF(S1091&gt;0,VLOOKUP(G1091,'3-Productie normen'!A:K,VLOOKUP(S1091,'3-Productie normen'!L:N,3,FALSE),FALSE)))</f>
        <v>0</v>
      </c>
      <c r="V1091" s="162">
        <f>VLOOKUP(G1091,'3-Productie normen'!A:K,10,FALSE)</f>
        <v>994.10000000000014</v>
      </c>
      <c r="W1091" s="163">
        <f>VLOOKUP(G1091,'3-Productie normen'!A:K,11,FALSE)</f>
        <v>0</v>
      </c>
      <c r="X1091" s="163"/>
      <c r="Z1091" s="129">
        <f t="shared" si="87"/>
        <v>19704</v>
      </c>
    </row>
    <row r="1092" spans="1:26" ht="14.1" customHeight="1">
      <c r="A1092" s="144">
        <v>1130</v>
      </c>
      <c r="B1092" s="485" t="s">
        <v>252</v>
      </c>
      <c r="C1092" s="303" t="s">
        <v>746</v>
      </c>
      <c r="D1092" s="304" t="s">
        <v>98</v>
      </c>
      <c r="E1092" s="694" t="s">
        <v>296</v>
      </c>
      <c r="F1092" s="303" t="s">
        <v>748</v>
      </c>
      <c r="G1092" s="303" t="s">
        <v>1</v>
      </c>
      <c r="H1092" s="504" t="s">
        <v>375</v>
      </c>
      <c r="I1092" s="582" t="str">
        <f>VLOOKUP(H1092,'9a-Typen vloeren'!$A$10:$B$40,2,FALSE)</f>
        <v>n.v.t.</v>
      </c>
      <c r="J1092" s="433">
        <v>13.4</v>
      </c>
      <c r="K1092" s="433">
        <f t="shared" si="88"/>
        <v>0</v>
      </c>
      <c r="L1092" s="433">
        <f t="shared" si="89"/>
        <v>0</v>
      </c>
      <c r="M1092" s="433">
        <f t="shared" si="90"/>
        <v>0</v>
      </c>
      <c r="N1092" s="672"/>
      <c r="O1092" s="729">
        <f>IF(N1092="",0,N1092*K1092/'9b-Vloeronderhoud'!$F$4)</f>
        <v>0</v>
      </c>
      <c r="P1092" s="672"/>
      <c r="Q1092" s="729" t="e">
        <f>IF(O1092="",0,P1092*L1092/'9b-Vloeronderhoud'!$F$6)</f>
        <v>#DIV/0!</v>
      </c>
      <c r="R1092" s="449">
        <v>1</v>
      </c>
      <c r="S1092" s="672">
        <v>190</v>
      </c>
      <c r="T1092" s="161" t="e">
        <f t="shared" si="86"/>
        <v>#DIV/0!</v>
      </c>
      <c r="U1092" s="162">
        <f>IF(S1092="nio",0,IF(S1092&gt;0,VLOOKUP(G1092,'3-Productie normen'!A:K,VLOOKUP(S1092,'3-Productie normen'!L:N,3,FALSE),FALSE)))</f>
        <v>0</v>
      </c>
      <c r="V1092" s="162">
        <f>VLOOKUP(G1092,'3-Productie normen'!A:K,10,FALSE)</f>
        <v>128.4</v>
      </c>
      <c r="W1092" s="163">
        <f>VLOOKUP(G1092,'3-Productie normen'!A:K,11,FALSE)</f>
        <v>0</v>
      </c>
      <c r="X1092" s="163"/>
      <c r="Z1092" s="129">
        <f t="shared" si="87"/>
        <v>2546</v>
      </c>
    </row>
    <row r="1093" spans="1:26" ht="14.1" customHeight="1">
      <c r="A1093" s="144">
        <v>1131</v>
      </c>
      <c r="B1093" s="485" t="s">
        <v>252</v>
      </c>
      <c r="C1093" s="303" t="s">
        <v>746</v>
      </c>
      <c r="D1093" s="304" t="s">
        <v>98</v>
      </c>
      <c r="E1093" s="694" t="s">
        <v>298</v>
      </c>
      <c r="F1093" s="303" t="s">
        <v>749</v>
      </c>
      <c r="G1093" s="460" t="s">
        <v>1</v>
      </c>
      <c r="H1093" s="504" t="s">
        <v>375</v>
      </c>
      <c r="I1093" s="582" t="str">
        <f>VLOOKUP(H1093,'9a-Typen vloeren'!$A$10:$B$40,2,FALSE)</f>
        <v>n.v.t.</v>
      </c>
      <c r="J1093" s="433">
        <v>31</v>
      </c>
      <c r="K1093" s="433">
        <f t="shared" si="88"/>
        <v>0</v>
      </c>
      <c r="L1093" s="433">
        <f t="shared" si="89"/>
        <v>0</v>
      </c>
      <c r="M1093" s="433">
        <f t="shared" si="90"/>
        <v>0</v>
      </c>
      <c r="N1093" s="672"/>
      <c r="O1093" s="729">
        <f>IF(N1093="",0,N1093*K1093/'9b-Vloeronderhoud'!$F$4)</f>
        <v>0</v>
      </c>
      <c r="P1093" s="672"/>
      <c r="Q1093" s="729" t="e">
        <f>IF(O1093="",0,P1093*L1093/'9b-Vloeronderhoud'!$F$6)</f>
        <v>#DIV/0!</v>
      </c>
      <c r="R1093" s="449">
        <v>1</v>
      </c>
      <c r="S1093" s="672">
        <v>190</v>
      </c>
      <c r="T1093" s="161" t="e">
        <f t="shared" si="86"/>
        <v>#DIV/0!</v>
      </c>
      <c r="U1093" s="162">
        <f>IF(S1093="nio",0,IF(S1093&gt;0,VLOOKUP(G1093,'3-Productie normen'!A:K,VLOOKUP(S1093,'3-Productie normen'!L:N,3,FALSE),FALSE)))</f>
        <v>0</v>
      </c>
      <c r="V1093" s="162">
        <f>VLOOKUP(G1093,'3-Productie normen'!A:K,10,FALSE)</f>
        <v>128.4</v>
      </c>
      <c r="W1093" s="163">
        <f>VLOOKUP(G1093,'3-Productie normen'!A:K,11,FALSE)</f>
        <v>0</v>
      </c>
      <c r="X1093" s="163"/>
      <c r="Z1093" s="129">
        <f t="shared" si="87"/>
        <v>5890</v>
      </c>
    </row>
    <row r="1094" spans="1:26" ht="14.1" customHeight="1">
      <c r="A1094" s="144">
        <v>1132</v>
      </c>
      <c r="B1094" s="485" t="s">
        <v>252</v>
      </c>
      <c r="C1094" s="303" t="s">
        <v>746</v>
      </c>
      <c r="D1094" s="304" t="s">
        <v>98</v>
      </c>
      <c r="E1094" s="694" t="s">
        <v>301</v>
      </c>
      <c r="F1094" s="303" t="s">
        <v>750</v>
      </c>
      <c r="G1094" s="460" t="s">
        <v>881</v>
      </c>
      <c r="H1094" s="504" t="s">
        <v>375</v>
      </c>
      <c r="I1094" s="582" t="str">
        <f>VLOOKUP(H1094,'9a-Typen vloeren'!$A$10:$B$40,2,FALSE)</f>
        <v>n.v.t.</v>
      </c>
      <c r="J1094" s="433">
        <v>23.5</v>
      </c>
      <c r="K1094" s="433">
        <f t="shared" si="88"/>
        <v>0</v>
      </c>
      <c r="L1094" s="433">
        <f t="shared" si="89"/>
        <v>0</v>
      </c>
      <c r="M1094" s="433">
        <f t="shared" si="90"/>
        <v>0</v>
      </c>
      <c r="N1094" s="672"/>
      <c r="O1094" s="729">
        <f>IF(N1094="",0,N1094*K1094/'9b-Vloeronderhoud'!$F$4)</f>
        <v>0</v>
      </c>
      <c r="P1094" s="672"/>
      <c r="Q1094" s="729" t="e">
        <f>IF(O1094="",0,P1094*L1094/'9b-Vloeronderhoud'!$F$6)</f>
        <v>#DIV/0!</v>
      </c>
      <c r="R1094" s="449">
        <v>1</v>
      </c>
      <c r="S1094" s="672" t="s">
        <v>179</v>
      </c>
      <c r="T1094" s="161">
        <f t="shared" si="86"/>
        <v>0</v>
      </c>
      <c r="U1094" s="162">
        <f>IF(S1094="nio",0,IF(S1094&gt;0,VLOOKUP(G1094,'3-Productie normen'!A:K,VLOOKUP(S1094,'3-Productie normen'!L:N,3,FALSE),FALSE)))</f>
        <v>0</v>
      </c>
      <c r="V1094" s="162">
        <f>VLOOKUP(G1094,'3-Productie normen'!A:K,10,FALSE)</f>
        <v>5262.809993648526</v>
      </c>
      <c r="W1094" s="163">
        <f>VLOOKUP(G1094,'3-Productie normen'!A:K,11,FALSE)</f>
        <v>0</v>
      </c>
      <c r="X1094" s="163"/>
      <c r="Z1094" s="129">
        <f t="shared" si="87"/>
        <v>0</v>
      </c>
    </row>
    <row r="1095" spans="1:26" ht="14.1" customHeight="1">
      <c r="A1095" s="144">
        <v>1133</v>
      </c>
      <c r="B1095" s="485" t="s">
        <v>252</v>
      </c>
      <c r="C1095" s="303" t="s">
        <v>746</v>
      </c>
      <c r="D1095" s="304" t="s">
        <v>98</v>
      </c>
      <c r="E1095" s="694" t="s">
        <v>303</v>
      </c>
      <c r="F1095" s="303" t="s">
        <v>316</v>
      </c>
      <c r="G1095" s="460" t="s">
        <v>881</v>
      </c>
      <c r="H1095" s="504" t="s">
        <v>375</v>
      </c>
      <c r="I1095" s="582" t="str">
        <f>VLOOKUP(H1095,'9a-Typen vloeren'!$A$10:$B$40,2,FALSE)</f>
        <v>n.v.t.</v>
      </c>
      <c r="J1095" s="433">
        <v>11.7</v>
      </c>
      <c r="K1095" s="433">
        <f t="shared" si="88"/>
        <v>0</v>
      </c>
      <c r="L1095" s="433">
        <f t="shared" si="89"/>
        <v>0</v>
      </c>
      <c r="M1095" s="433">
        <f t="shared" si="90"/>
        <v>0</v>
      </c>
      <c r="N1095" s="672"/>
      <c r="O1095" s="729">
        <f>IF(N1095="",0,N1095*K1095/'9b-Vloeronderhoud'!$F$4)</f>
        <v>0</v>
      </c>
      <c r="P1095" s="672"/>
      <c r="Q1095" s="729" t="e">
        <f>IF(O1095="",0,P1095*L1095/'9b-Vloeronderhoud'!$F$6)</f>
        <v>#DIV/0!</v>
      </c>
      <c r="R1095" s="449">
        <v>1</v>
      </c>
      <c r="S1095" s="672" t="s">
        <v>179</v>
      </c>
      <c r="T1095" s="161">
        <f t="shared" si="86"/>
        <v>0</v>
      </c>
      <c r="U1095" s="162">
        <f>IF(S1095="nio",0,IF(S1095&gt;0,VLOOKUP(G1095,'3-Productie normen'!A:K,VLOOKUP(S1095,'3-Productie normen'!L:N,3,FALSE),FALSE)))</f>
        <v>0</v>
      </c>
      <c r="V1095" s="162">
        <f>VLOOKUP(G1095,'3-Productie normen'!A:K,10,FALSE)</f>
        <v>5262.809993648526</v>
      </c>
      <c r="W1095" s="163">
        <f>VLOOKUP(G1095,'3-Productie normen'!A:K,11,FALSE)</f>
        <v>0</v>
      </c>
      <c r="X1095" s="163"/>
      <c r="Z1095" s="129">
        <f t="shared" si="87"/>
        <v>0</v>
      </c>
    </row>
    <row r="1096" spans="1:26" ht="14.1" customHeight="1">
      <c r="A1096" s="144">
        <v>1134</v>
      </c>
      <c r="B1096" s="485" t="s">
        <v>252</v>
      </c>
      <c r="C1096" s="303" t="s">
        <v>746</v>
      </c>
      <c r="D1096" s="304" t="s">
        <v>98</v>
      </c>
      <c r="E1096" s="694" t="s">
        <v>753</v>
      </c>
      <c r="F1096" s="303" t="s">
        <v>751</v>
      </c>
      <c r="G1096" s="122" t="s">
        <v>18</v>
      </c>
      <c r="H1096" s="504" t="s">
        <v>375</v>
      </c>
      <c r="I1096" s="582" t="str">
        <f>VLOOKUP(H1096,'9a-Typen vloeren'!$A$10:$B$40,2,FALSE)</f>
        <v>n.v.t.</v>
      </c>
      <c r="J1096" s="433">
        <v>3.4</v>
      </c>
      <c r="K1096" s="433">
        <f t="shared" si="88"/>
        <v>0</v>
      </c>
      <c r="L1096" s="433">
        <f t="shared" si="89"/>
        <v>0</v>
      </c>
      <c r="M1096" s="433">
        <f t="shared" si="90"/>
        <v>0</v>
      </c>
      <c r="N1096" s="672"/>
      <c r="O1096" s="729">
        <f>IF(N1096="",0,N1096*K1096/'9b-Vloeronderhoud'!$F$4)</f>
        <v>0</v>
      </c>
      <c r="P1096" s="672"/>
      <c r="Q1096" s="729" t="e">
        <f>IF(O1096="",0,P1096*L1096/'9b-Vloeronderhoud'!$F$6)</f>
        <v>#DIV/0!</v>
      </c>
      <c r="R1096" s="449">
        <v>1</v>
      </c>
      <c r="S1096" s="672">
        <v>190</v>
      </c>
      <c r="T1096" s="161" t="e">
        <f t="shared" si="86"/>
        <v>#DIV/0!</v>
      </c>
      <c r="U1096" s="162">
        <f>IF(S1096="nio",0,IF(S1096&gt;0,VLOOKUP(G1096,'3-Productie normen'!A:K,VLOOKUP(S1096,'3-Productie normen'!L:N,3,FALSE),FALSE)))</f>
        <v>0</v>
      </c>
      <c r="V1096" s="162">
        <f>VLOOKUP(G1096,'3-Productie normen'!A:K,10,FALSE)</f>
        <v>1859.5880019121171</v>
      </c>
      <c r="W1096" s="163">
        <f>VLOOKUP(G1096,'3-Productie normen'!A:K,11,FALSE)</f>
        <v>0</v>
      </c>
      <c r="X1096" s="163"/>
      <c r="Z1096" s="129">
        <f t="shared" si="87"/>
        <v>646</v>
      </c>
    </row>
    <row r="1097" spans="1:26" ht="14.1" customHeight="1">
      <c r="A1097" s="144">
        <v>1135</v>
      </c>
      <c r="B1097" s="485" t="s">
        <v>252</v>
      </c>
      <c r="C1097" s="303" t="s">
        <v>746</v>
      </c>
      <c r="D1097" s="304" t="s">
        <v>98</v>
      </c>
      <c r="E1097" s="694" t="s">
        <v>752</v>
      </c>
      <c r="F1097" s="303" t="s">
        <v>751</v>
      </c>
      <c r="G1097" s="122" t="s">
        <v>18</v>
      </c>
      <c r="H1097" s="504" t="s">
        <v>375</v>
      </c>
      <c r="I1097" s="582" t="str">
        <f>VLOOKUP(H1097,'9a-Typen vloeren'!$A$10:$B$40,2,FALSE)</f>
        <v>n.v.t.</v>
      </c>
      <c r="J1097" s="433">
        <v>3.4</v>
      </c>
      <c r="K1097" s="433">
        <f t="shared" si="88"/>
        <v>0</v>
      </c>
      <c r="L1097" s="433">
        <f t="shared" si="89"/>
        <v>0</v>
      </c>
      <c r="M1097" s="433">
        <f t="shared" si="90"/>
        <v>0</v>
      </c>
      <c r="N1097" s="672"/>
      <c r="O1097" s="729">
        <f>IF(N1097="",0,N1097*K1097/'9b-Vloeronderhoud'!$F$4)</f>
        <v>0</v>
      </c>
      <c r="P1097" s="672"/>
      <c r="Q1097" s="729" t="e">
        <f>IF(O1097="",0,P1097*L1097/'9b-Vloeronderhoud'!$F$6)</f>
        <v>#DIV/0!</v>
      </c>
      <c r="R1097" s="449">
        <v>1</v>
      </c>
      <c r="S1097" s="672">
        <v>190</v>
      </c>
      <c r="T1097" s="161" t="e">
        <f t="shared" si="86"/>
        <v>#DIV/0!</v>
      </c>
      <c r="U1097" s="162">
        <f>IF(S1097="nio",0,IF(S1097&gt;0,VLOOKUP(G1097,'3-Productie normen'!A:K,VLOOKUP(S1097,'3-Productie normen'!L:N,3,FALSE),FALSE)))</f>
        <v>0</v>
      </c>
      <c r="V1097" s="162">
        <f>VLOOKUP(G1097,'3-Productie normen'!A:K,10,FALSE)</f>
        <v>1859.5880019121171</v>
      </c>
      <c r="W1097" s="163">
        <f>VLOOKUP(G1097,'3-Productie normen'!A:K,11,FALSE)</f>
        <v>0</v>
      </c>
      <c r="X1097" s="163"/>
      <c r="Z1097" s="129">
        <f t="shared" si="87"/>
        <v>646</v>
      </c>
    </row>
    <row r="1098" spans="1:26" ht="14.1" customHeight="1">
      <c r="A1098" s="144">
        <v>1136</v>
      </c>
      <c r="B1098" s="485" t="s">
        <v>252</v>
      </c>
      <c r="C1098" s="303" t="s">
        <v>746</v>
      </c>
      <c r="D1098" s="304" t="s">
        <v>98</v>
      </c>
      <c r="E1098" s="694" t="s">
        <v>311</v>
      </c>
      <c r="F1098" s="303" t="s">
        <v>382</v>
      </c>
      <c r="G1098" s="460" t="s">
        <v>881</v>
      </c>
      <c r="H1098" s="504" t="s">
        <v>375</v>
      </c>
      <c r="I1098" s="582" t="str">
        <f>VLOOKUP(H1098,'9a-Typen vloeren'!$A$10:$B$40,2,FALSE)</f>
        <v>n.v.t.</v>
      </c>
      <c r="J1098" s="433">
        <v>8.8000000000000007</v>
      </c>
      <c r="K1098" s="433">
        <f t="shared" si="88"/>
        <v>0</v>
      </c>
      <c r="L1098" s="433">
        <f t="shared" si="89"/>
        <v>0</v>
      </c>
      <c r="M1098" s="433">
        <f t="shared" si="90"/>
        <v>0</v>
      </c>
      <c r="N1098" s="672"/>
      <c r="O1098" s="729">
        <f>IF(N1098="",0,N1098*K1098/'9b-Vloeronderhoud'!$F$4)</f>
        <v>0</v>
      </c>
      <c r="P1098" s="672"/>
      <c r="Q1098" s="729" t="e">
        <f>IF(O1098="",0,P1098*L1098/'9b-Vloeronderhoud'!$F$6)</f>
        <v>#DIV/0!</v>
      </c>
      <c r="R1098" s="449">
        <v>1</v>
      </c>
      <c r="S1098" s="672" t="s">
        <v>179</v>
      </c>
      <c r="T1098" s="161">
        <f t="shared" ref="T1098:T1161" si="91">IF(S1098="nio",0,IF(S1098&gt;0,S1098*J1098/U1098,0))*R1098</f>
        <v>0</v>
      </c>
      <c r="U1098" s="162">
        <f>IF(S1098="nio",0,IF(S1098&gt;0,VLOOKUP(G1098,'3-Productie normen'!A:K,VLOOKUP(S1098,'3-Productie normen'!L:N,3,FALSE),FALSE)))</f>
        <v>0</v>
      </c>
      <c r="V1098" s="162">
        <f>VLOOKUP(G1098,'3-Productie normen'!A:K,10,FALSE)</f>
        <v>5262.809993648526</v>
      </c>
      <c r="W1098" s="163">
        <f>VLOOKUP(G1098,'3-Productie normen'!A:K,11,FALSE)</f>
        <v>0</v>
      </c>
      <c r="X1098" s="163"/>
      <c r="Z1098" s="129">
        <f t="shared" ref="Z1098:Z1161" si="92">SUM(S1098:S1098)*J1098</f>
        <v>0</v>
      </c>
    </row>
    <row r="1099" spans="1:26" ht="14.1" customHeight="1">
      <c r="A1099" s="144">
        <v>1137</v>
      </c>
      <c r="B1099" s="485" t="s">
        <v>252</v>
      </c>
      <c r="C1099" s="303" t="s">
        <v>746</v>
      </c>
      <c r="D1099" s="304" t="s">
        <v>98</v>
      </c>
      <c r="E1099" s="694" t="s">
        <v>312</v>
      </c>
      <c r="F1099" s="303" t="s">
        <v>404</v>
      </c>
      <c r="G1099" s="460" t="s">
        <v>286</v>
      </c>
      <c r="H1099" s="504" t="s">
        <v>375</v>
      </c>
      <c r="I1099" s="582" t="str">
        <f>VLOOKUP(H1099,'9a-Typen vloeren'!$A$10:$B$40,2,FALSE)</f>
        <v>n.v.t.</v>
      </c>
      <c r="J1099" s="585">
        <v>40</v>
      </c>
      <c r="K1099" s="433">
        <f t="shared" si="88"/>
        <v>0</v>
      </c>
      <c r="L1099" s="433">
        <f t="shared" si="89"/>
        <v>0</v>
      </c>
      <c r="M1099" s="433">
        <f t="shared" si="90"/>
        <v>0</v>
      </c>
      <c r="N1099" s="672"/>
      <c r="O1099" s="729">
        <f>IF(N1099="",0,N1099*K1099/'9b-Vloeronderhoud'!$F$4)</f>
        <v>0</v>
      </c>
      <c r="P1099" s="672"/>
      <c r="Q1099" s="729" t="e">
        <f>IF(O1099="",0,P1099*L1099/'9b-Vloeronderhoud'!$F$6)</f>
        <v>#DIV/0!</v>
      </c>
      <c r="R1099" s="449">
        <v>1</v>
      </c>
      <c r="S1099" s="672">
        <v>120</v>
      </c>
      <c r="T1099" s="161" t="e">
        <f t="shared" si="91"/>
        <v>#DIV/0!</v>
      </c>
      <c r="U1099" s="162">
        <f>IF(S1099="nio",0,IF(S1099&gt;0,VLOOKUP(G1099,'3-Productie normen'!A:K,VLOOKUP(S1099,'3-Productie normen'!L:N,3,FALSE),FALSE)))</f>
        <v>0</v>
      </c>
      <c r="V1099" s="162">
        <f>VLOOKUP(G1099,'3-Productie normen'!A:K,10,FALSE)</f>
        <v>6152.9500017547598</v>
      </c>
      <c r="W1099" s="163">
        <f>VLOOKUP(G1099,'3-Productie normen'!A:K,11,FALSE)</f>
        <v>0</v>
      </c>
      <c r="X1099" s="163"/>
      <c r="Z1099" s="129">
        <f t="shared" si="92"/>
        <v>4800</v>
      </c>
    </row>
    <row r="1100" spans="1:26" ht="14.1" customHeight="1">
      <c r="A1100" s="144">
        <v>1138</v>
      </c>
      <c r="B1100" s="485" t="s">
        <v>252</v>
      </c>
      <c r="C1100" s="303" t="s">
        <v>746</v>
      </c>
      <c r="D1100" s="304" t="s">
        <v>98</v>
      </c>
      <c r="E1100" s="694" t="s">
        <v>314</v>
      </c>
      <c r="F1100" s="303" t="s">
        <v>404</v>
      </c>
      <c r="G1100" s="533" t="s">
        <v>286</v>
      </c>
      <c r="H1100" s="504" t="s">
        <v>375</v>
      </c>
      <c r="I1100" s="582" t="str">
        <f>VLOOKUP(H1100,'9a-Typen vloeren'!$A$10:$B$40,2,FALSE)</f>
        <v>n.v.t.</v>
      </c>
      <c r="J1100" s="433">
        <v>14.4</v>
      </c>
      <c r="K1100" s="433">
        <f t="shared" si="88"/>
        <v>0</v>
      </c>
      <c r="L1100" s="433">
        <f t="shared" si="89"/>
        <v>0</v>
      </c>
      <c r="M1100" s="433">
        <f t="shared" si="90"/>
        <v>0</v>
      </c>
      <c r="N1100" s="672"/>
      <c r="O1100" s="729">
        <f>IF(N1100="",0,N1100*K1100/'9b-Vloeronderhoud'!$F$4)</f>
        <v>0</v>
      </c>
      <c r="P1100" s="672"/>
      <c r="Q1100" s="729" t="e">
        <f>IF(O1100="",0,P1100*L1100/'9b-Vloeronderhoud'!$F$6)</f>
        <v>#DIV/0!</v>
      </c>
      <c r="R1100" s="449">
        <v>1</v>
      </c>
      <c r="S1100" s="672">
        <v>120</v>
      </c>
      <c r="T1100" s="161" t="e">
        <f t="shared" si="91"/>
        <v>#DIV/0!</v>
      </c>
      <c r="U1100" s="162">
        <f>IF(S1100="nio",0,IF(S1100&gt;0,VLOOKUP(G1100,'3-Productie normen'!A:K,VLOOKUP(S1100,'3-Productie normen'!L:N,3,FALSE),FALSE)))</f>
        <v>0</v>
      </c>
      <c r="V1100" s="162">
        <f>VLOOKUP(G1100,'3-Productie normen'!A:K,10,FALSE)</f>
        <v>6152.9500017547598</v>
      </c>
      <c r="W1100" s="163">
        <f>VLOOKUP(G1100,'3-Productie normen'!A:K,11,FALSE)</f>
        <v>0</v>
      </c>
      <c r="X1100" s="163"/>
      <c r="Z1100" s="129">
        <f t="shared" si="92"/>
        <v>1728</v>
      </c>
    </row>
    <row r="1101" spans="1:26" ht="14.1" customHeight="1">
      <c r="A1101" s="144">
        <v>1139</v>
      </c>
      <c r="B1101" s="485" t="s">
        <v>252</v>
      </c>
      <c r="C1101" s="303" t="s">
        <v>746</v>
      </c>
      <c r="D1101" s="304" t="s">
        <v>98</v>
      </c>
      <c r="E1101" s="694" t="s">
        <v>315</v>
      </c>
      <c r="F1101" s="303" t="s">
        <v>267</v>
      </c>
      <c r="G1101" s="122" t="s">
        <v>18</v>
      </c>
      <c r="H1101" s="504" t="s">
        <v>375</v>
      </c>
      <c r="I1101" s="582" t="str">
        <f>VLOOKUP(H1101,'9a-Typen vloeren'!$A$10:$B$40,2,FALSE)</f>
        <v>n.v.t.</v>
      </c>
      <c r="J1101" s="433">
        <v>5.5</v>
      </c>
      <c r="K1101" s="433">
        <f t="shared" si="88"/>
        <v>0</v>
      </c>
      <c r="L1101" s="433">
        <f t="shared" si="89"/>
        <v>0</v>
      </c>
      <c r="M1101" s="433">
        <f t="shared" si="90"/>
        <v>0</v>
      </c>
      <c r="N1101" s="672"/>
      <c r="O1101" s="729">
        <f>IF(N1101="",0,N1101*K1101/'9b-Vloeronderhoud'!$F$4)</f>
        <v>0</v>
      </c>
      <c r="P1101" s="672"/>
      <c r="Q1101" s="729" t="e">
        <f>IF(O1101="",0,P1101*L1101/'9b-Vloeronderhoud'!$F$6)</f>
        <v>#DIV/0!</v>
      </c>
      <c r="R1101" s="449">
        <v>1</v>
      </c>
      <c r="S1101" s="672">
        <v>190</v>
      </c>
      <c r="T1101" s="161" t="e">
        <f t="shared" si="91"/>
        <v>#DIV/0!</v>
      </c>
      <c r="U1101" s="162">
        <f>IF(S1101="nio",0,IF(S1101&gt;0,VLOOKUP(G1101,'3-Productie normen'!A:K,VLOOKUP(S1101,'3-Productie normen'!L:N,3,FALSE),FALSE)))</f>
        <v>0</v>
      </c>
      <c r="V1101" s="162">
        <f>VLOOKUP(G1101,'3-Productie normen'!A:K,10,FALSE)</f>
        <v>1859.5880019121171</v>
      </c>
      <c r="W1101" s="163">
        <f>VLOOKUP(G1101,'3-Productie normen'!A:K,11,FALSE)</f>
        <v>0</v>
      </c>
      <c r="X1101" s="163"/>
      <c r="Z1101" s="129">
        <f t="shared" si="92"/>
        <v>1045</v>
      </c>
    </row>
    <row r="1102" spans="1:26" ht="14.1" customHeight="1">
      <c r="A1102" s="144">
        <v>1140</v>
      </c>
      <c r="B1102" s="485" t="s">
        <v>252</v>
      </c>
      <c r="C1102" s="303" t="s">
        <v>746</v>
      </c>
      <c r="D1102" s="304" t="s">
        <v>98</v>
      </c>
      <c r="E1102" s="694" t="s">
        <v>317</v>
      </c>
      <c r="F1102" s="303" t="s">
        <v>285</v>
      </c>
      <c r="G1102" s="303" t="s">
        <v>285</v>
      </c>
      <c r="H1102" s="504" t="s">
        <v>375</v>
      </c>
      <c r="I1102" s="582" t="str">
        <f>VLOOKUP(H1102,'9a-Typen vloeren'!$A$10:$B$40,2,FALSE)</f>
        <v>n.v.t.</v>
      </c>
      <c r="J1102" s="433">
        <v>57</v>
      </c>
      <c r="K1102" s="433">
        <f t="shared" si="88"/>
        <v>0</v>
      </c>
      <c r="L1102" s="433">
        <f t="shared" si="89"/>
        <v>0</v>
      </c>
      <c r="M1102" s="433">
        <f t="shared" si="90"/>
        <v>0</v>
      </c>
      <c r="N1102" s="672"/>
      <c r="O1102" s="729">
        <f>IF(N1102="",0,N1102*K1102/'9b-Vloeronderhoud'!$F$4)</f>
        <v>0</v>
      </c>
      <c r="P1102" s="672"/>
      <c r="Q1102" s="729" t="e">
        <f>IF(O1102="",0,P1102*L1102/'9b-Vloeronderhoud'!$F$6)</f>
        <v>#DIV/0!</v>
      </c>
      <c r="R1102" s="449">
        <v>1</v>
      </c>
      <c r="S1102" s="672">
        <v>190</v>
      </c>
      <c r="T1102" s="161" t="e">
        <f t="shared" si="91"/>
        <v>#DIV/0!</v>
      </c>
      <c r="U1102" s="162">
        <f>IF(S1102="nio",0,IF(S1102&gt;0,VLOOKUP(G1102,'3-Productie normen'!A:K,VLOOKUP(S1102,'3-Productie normen'!L:N,3,FALSE),FALSE)))</f>
        <v>0</v>
      </c>
      <c r="V1102" s="162">
        <f>VLOOKUP(G1102,'3-Productie normen'!A:K,10,FALSE)</f>
        <v>3305.8200070953367</v>
      </c>
      <c r="W1102" s="163">
        <f>VLOOKUP(G1102,'3-Productie normen'!A:K,11,FALSE)</f>
        <v>0</v>
      </c>
      <c r="X1102" s="163"/>
      <c r="Z1102" s="129">
        <f t="shared" si="92"/>
        <v>10830</v>
      </c>
    </row>
    <row r="1103" spans="1:26" ht="14.1" customHeight="1">
      <c r="A1103" s="144">
        <v>1141</v>
      </c>
      <c r="B1103" s="485" t="s">
        <v>252</v>
      </c>
      <c r="C1103" s="303" t="s">
        <v>746</v>
      </c>
      <c r="D1103" s="304" t="s">
        <v>98</v>
      </c>
      <c r="E1103" s="694" t="s">
        <v>318</v>
      </c>
      <c r="F1103" s="303" t="s">
        <v>285</v>
      </c>
      <c r="G1103" s="303" t="s">
        <v>285</v>
      </c>
      <c r="H1103" s="504" t="s">
        <v>375</v>
      </c>
      <c r="I1103" s="582" t="str">
        <f>VLOOKUP(H1103,'9a-Typen vloeren'!$A$10:$B$40,2,FALSE)</f>
        <v>n.v.t.</v>
      </c>
      <c r="J1103" s="433">
        <v>60.7</v>
      </c>
      <c r="K1103" s="433">
        <f t="shared" si="88"/>
        <v>0</v>
      </c>
      <c r="L1103" s="433">
        <f t="shared" si="89"/>
        <v>0</v>
      </c>
      <c r="M1103" s="433">
        <f t="shared" si="90"/>
        <v>0</v>
      </c>
      <c r="N1103" s="672"/>
      <c r="O1103" s="729">
        <f>IF(N1103="",0,N1103*K1103/'9b-Vloeronderhoud'!$F$4)</f>
        <v>0</v>
      </c>
      <c r="P1103" s="672"/>
      <c r="Q1103" s="729" t="e">
        <f>IF(O1103="",0,P1103*L1103/'9b-Vloeronderhoud'!$F$6)</f>
        <v>#DIV/0!</v>
      </c>
      <c r="R1103" s="449">
        <v>1</v>
      </c>
      <c r="S1103" s="672">
        <v>190</v>
      </c>
      <c r="T1103" s="161" t="e">
        <f t="shared" si="91"/>
        <v>#DIV/0!</v>
      </c>
      <c r="U1103" s="162">
        <f>IF(S1103="nio",0,IF(S1103&gt;0,VLOOKUP(G1103,'3-Productie normen'!A:K,VLOOKUP(S1103,'3-Productie normen'!L:N,3,FALSE),FALSE)))</f>
        <v>0</v>
      </c>
      <c r="V1103" s="162">
        <f>VLOOKUP(G1103,'3-Productie normen'!A:K,10,FALSE)</f>
        <v>3305.8200070953367</v>
      </c>
      <c r="W1103" s="163">
        <f>VLOOKUP(G1103,'3-Productie normen'!A:K,11,FALSE)</f>
        <v>0</v>
      </c>
      <c r="X1103" s="163"/>
      <c r="Z1103" s="129">
        <f t="shared" si="92"/>
        <v>11533</v>
      </c>
    </row>
    <row r="1104" spans="1:26" ht="14.1" customHeight="1">
      <c r="A1104" s="144">
        <v>1142</v>
      </c>
      <c r="B1104" s="485" t="s">
        <v>252</v>
      </c>
      <c r="C1104" s="303" t="s">
        <v>746</v>
      </c>
      <c r="D1104" s="304" t="s">
        <v>98</v>
      </c>
      <c r="E1104" s="694" t="s">
        <v>319</v>
      </c>
      <c r="F1104" s="303" t="s">
        <v>267</v>
      </c>
      <c r="G1104" s="303" t="s">
        <v>18</v>
      </c>
      <c r="H1104" s="504" t="s">
        <v>375</v>
      </c>
      <c r="I1104" s="582" t="str">
        <f>VLOOKUP(H1104,'9a-Typen vloeren'!$A$10:$B$40,2,FALSE)</f>
        <v>n.v.t.</v>
      </c>
      <c r="J1104" s="433">
        <v>16.5</v>
      </c>
      <c r="K1104" s="433">
        <f t="shared" si="88"/>
        <v>0</v>
      </c>
      <c r="L1104" s="433">
        <f t="shared" si="89"/>
        <v>0</v>
      </c>
      <c r="M1104" s="433">
        <f t="shared" si="90"/>
        <v>0</v>
      </c>
      <c r="N1104" s="672"/>
      <c r="O1104" s="729">
        <f>IF(N1104="",0,N1104*K1104/'9b-Vloeronderhoud'!$F$4)</f>
        <v>0</v>
      </c>
      <c r="P1104" s="672"/>
      <c r="Q1104" s="729" t="e">
        <f>IF(O1104="",0,P1104*L1104/'9b-Vloeronderhoud'!$F$6)</f>
        <v>#DIV/0!</v>
      </c>
      <c r="R1104" s="449">
        <v>1</v>
      </c>
      <c r="S1104" s="672">
        <v>190</v>
      </c>
      <c r="T1104" s="161" t="e">
        <f t="shared" si="91"/>
        <v>#DIV/0!</v>
      </c>
      <c r="U1104" s="162">
        <f>IF(S1104="nio",0,IF(S1104&gt;0,VLOOKUP(G1104,'3-Productie normen'!A:K,VLOOKUP(S1104,'3-Productie normen'!L:N,3,FALSE),FALSE)))</f>
        <v>0</v>
      </c>
      <c r="V1104" s="162">
        <f>VLOOKUP(G1104,'3-Productie normen'!A:K,10,FALSE)</f>
        <v>1859.5880019121171</v>
      </c>
      <c r="W1104" s="163">
        <f>VLOOKUP(G1104,'3-Productie normen'!A:K,11,FALSE)</f>
        <v>0</v>
      </c>
      <c r="X1104" s="163"/>
      <c r="Z1104" s="129">
        <f t="shared" si="92"/>
        <v>3135</v>
      </c>
    </row>
    <row r="1105" spans="1:26" ht="14.1" customHeight="1">
      <c r="A1105" s="144">
        <v>1143</v>
      </c>
      <c r="B1105" s="485" t="s">
        <v>252</v>
      </c>
      <c r="C1105" s="303" t="s">
        <v>746</v>
      </c>
      <c r="D1105" s="304" t="s">
        <v>98</v>
      </c>
      <c r="E1105" s="694" t="s">
        <v>320</v>
      </c>
      <c r="F1105" s="303" t="s">
        <v>559</v>
      </c>
      <c r="G1105" s="460" t="s">
        <v>881</v>
      </c>
      <c r="H1105" s="504" t="s">
        <v>375</v>
      </c>
      <c r="I1105" s="582" t="str">
        <f>VLOOKUP(H1105,'9a-Typen vloeren'!$A$10:$B$40,2,FALSE)</f>
        <v>n.v.t.</v>
      </c>
      <c r="J1105" s="433">
        <v>1.1000000000000001</v>
      </c>
      <c r="K1105" s="433">
        <f t="shared" si="88"/>
        <v>0</v>
      </c>
      <c r="L1105" s="433">
        <f t="shared" si="89"/>
        <v>0</v>
      </c>
      <c r="M1105" s="433">
        <f t="shared" si="90"/>
        <v>0</v>
      </c>
      <c r="N1105" s="672"/>
      <c r="O1105" s="729">
        <f>IF(N1105="",0,N1105*K1105/'9b-Vloeronderhoud'!$F$4)</f>
        <v>0</v>
      </c>
      <c r="P1105" s="672"/>
      <c r="Q1105" s="729" t="e">
        <f>IF(O1105="",0,P1105*L1105/'9b-Vloeronderhoud'!$F$6)</f>
        <v>#DIV/0!</v>
      </c>
      <c r="R1105" s="449">
        <v>1</v>
      </c>
      <c r="S1105" s="672" t="s">
        <v>179</v>
      </c>
      <c r="T1105" s="161">
        <f t="shared" si="91"/>
        <v>0</v>
      </c>
      <c r="U1105" s="162">
        <f>IF(S1105="nio",0,IF(S1105&gt;0,VLOOKUP(G1105,'3-Productie normen'!A:K,VLOOKUP(S1105,'3-Productie normen'!L:N,3,FALSE),FALSE)))</f>
        <v>0</v>
      </c>
      <c r="V1105" s="162">
        <f>VLOOKUP(G1105,'3-Productie normen'!A:K,10,FALSE)</f>
        <v>5262.809993648526</v>
      </c>
      <c r="W1105" s="163">
        <f>VLOOKUP(G1105,'3-Productie normen'!A:K,11,FALSE)</f>
        <v>0</v>
      </c>
      <c r="X1105" s="163"/>
      <c r="Z1105" s="129">
        <f t="shared" si="92"/>
        <v>0</v>
      </c>
    </row>
    <row r="1106" spans="1:26" ht="14.1" customHeight="1">
      <c r="A1106" s="144">
        <v>1144</v>
      </c>
      <c r="B1106" s="485" t="s">
        <v>252</v>
      </c>
      <c r="C1106" s="303" t="s">
        <v>746</v>
      </c>
      <c r="D1106" s="304" t="s">
        <v>98</v>
      </c>
      <c r="E1106" s="694" t="s">
        <v>321</v>
      </c>
      <c r="F1106" s="303" t="s">
        <v>404</v>
      </c>
      <c r="G1106" s="122" t="s">
        <v>286</v>
      </c>
      <c r="H1106" s="504" t="s">
        <v>375</v>
      </c>
      <c r="I1106" s="582" t="str">
        <f>VLOOKUP(H1106,'9a-Typen vloeren'!$A$10:$B$40,2,FALSE)</f>
        <v>n.v.t.</v>
      </c>
      <c r="J1106" s="433">
        <v>18.5</v>
      </c>
      <c r="K1106" s="433">
        <f t="shared" si="88"/>
        <v>0</v>
      </c>
      <c r="L1106" s="433">
        <f t="shared" si="89"/>
        <v>0</v>
      </c>
      <c r="M1106" s="433">
        <f t="shared" si="90"/>
        <v>0</v>
      </c>
      <c r="N1106" s="672"/>
      <c r="O1106" s="729">
        <f>IF(N1106="",0,N1106*K1106/'9b-Vloeronderhoud'!$F$4)</f>
        <v>0</v>
      </c>
      <c r="P1106" s="672"/>
      <c r="Q1106" s="729" t="e">
        <f>IF(O1106="",0,P1106*L1106/'9b-Vloeronderhoud'!$F$6)</f>
        <v>#DIV/0!</v>
      </c>
      <c r="R1106" s="449">
        <v>1</v>
      </c>
      <c r="S1106" s="672">
        <v>120</v>
      </c>
      <c r="T1106" s="161" t="e">
        <f t="shared" si="91"/>
        <v>#DIV/0!</v>
      </c>
      <c r="U1106" s="162">
        <f>IF(S1106="nio",0,IF(S1106&gt;0,VLOOKUP(G1106,'3-Productie normen'!A:K,VLOOKUP(S1106,'3-Productie normen'!L:N,3,FALSE),FALSE)))</f>
        <v>0</v>
      </c>
      <c r="V1106" s="162">
        <f>VLOOKUP(G1106,'3-Productie normen'!A:K,10,FALSE)</f>
        <v>6152.9500017547598</v>
      </c>
      <c r="W1106" s="163">
        <f>VLOOKUP(G1106,'3-Productie normen'!A:K,11,FALSE)</f>
        <v>0</v>
      </c>
      <c r="X1106" s="163"/>
      <c r="Z1106" s="129">
        <f t="shared" si="92"/>
        <v>2220</v>
      </c>
    </row>
    <row r="1107" spans="1:26" ht="14.1" customHeight="1">
      <c r="A1107" s="144">
        <v>1145</v>
      </c>
      <c r="B1107" s="485" t="s">
        <v>252</v>
      </c>
      <c r="C1107" s="303" t="s">
        <v>746</v>
      </c>
      <c r="D1107" s="304" t="s">
        <v>98</v>
      </c>
      <c r="E1107" s="694" t="s">
        <v>323</v>
      </c>
      <c r="F1107" s="303" t="s">
        <v>221</v>
      </c>
      <c r="G1107" s="546" t="s">
        <v>221</v>
      </c>
      <c r="H1107" s="504" t="s">
        <v>375</v>
      </c>
      <c r="I1107" s="582" t="str">
        <f>VLOOKUP(H1107,'9a-Typen vloeren'!$A$10:$B$40,2,FALSE)</f>
        <v>n.v.t.</v>
      </c>
      <c r="J1107" s="433">
        <v>53.7</v>
      </c>
      <c r="K1107" s="433">
        <f t="shared" si="88"/>
        <v>0</v>
      </c>
      <c r="L1107" s="433">
        <f t="shared" si="89"/>
        <v>0</v>
      </c>
      <c r="M1107" s="433">
        <f t="shared" si="90"/>
        <v>0</v>
      </c>
      <c r="N1107" s="672"/>
      <c r="O1107" s="729">
        <f>IF(N1107="",0,N1107*K1107/'9b-Vloeronderhoud'!$F$4)</f>
        <v>0</v>
      </c>
      <c r="P1107" s="672"/>
      <c r="Q1107" s="729" t="e">
        <f>IF(O1107="",0,P1107*L1107/'9b-Vloeronderhoud'!$F$6)</f>
        <v>#DIV/0!</v>
      </c>
      <c r="R1107" s="449">
        <v>1</v>
      </c>
      <c r="S1107" s="672">
        <v>80</v>
      </c>
      <c r="T1107" s="161" t="e">
        <f t="shared" si="91"/>
        <v>#DIV/0!</v>
      </c>
      <c r="U1107" s="162">
        <f>IF(S1107="nio",0,IF(S1107&gt;0,VLOOKUP(G1107,'3-Productie normen'!A:K,VLOOKUP(S1107,'3-Productie normen'!L:N,3,FALSE),FALSE)))</f>
        <v>0</v>
      </c>
      <c r="V1107" s="162">
        <f>VLOOKUP(G1107,'3-Productie normen'!A:K,10,FALSE)</f>
        <v>16013.110036668773</v>
      </c>
      <c r="W1107" s="163">
        <f>VLOOKUP(G1107,'3-Productie normen'!A:K,11,FALSE)</f>
        <v>0</v>
      </c>
      <c r="X1107" s="163"/>
      <c r="Z1107" s="129">
        <f t="shared" si="92"/>
        <v>4296</v>
      </c>
    </row>
    <row r="1108" spans="1:26" ht="14.1" customHeight="1">
      <c r="A1108" s="144">
        <v>1146</v>
      </c>
      <c r="B1108" s="485" t="s">
        <v>252</v>
      </c>
      <c r="C1108" s="303" t="s">
        <v>746</v>
      </c>
      <c r="D1108" s="304" t="s">
        <v>98</v>
      </c>
      <c r="E1108" s="694" t="s">
        <v>325</v>
      </c>
      <c r="F1108" s="303" t="s">
        <v>221</v>
      </c>
      <c r="G1108" s="126" t="s">
        <v>221</v>
      </c>
      <c r="H1108" s="504" t="s">
        <v>375</v>
      </c>
      <c r="I1108" s="582" t="str">
        <f>VLOOKUP(H1108,'9a-Typen vloeren'!$A$10:$B$40,2,FALSE)</f>
        <v>n.v.t.</v>
      </c>
      <c r="J1108" s="433">
        <v>56.3</v>
      </c>
      <c r="K1108" s="433">
        <f t="shared" si="88"/>
        <v>0</v>
      </c>
      <c r="L1108" s="433">
        <f t="shared" si="89"/>
        <v>0</v>
      </c>
      <c r="M1108" s="433">
        <f t="shared" si="90"/>
        <v>0</v>
      </c>
      <c r="N1108" s="672"/>
      <c r="O1108" s="729">
        <f>IF(N1108="",0,N1108*K1108/'9b-Vloeronderhoud'!$F$4)</f>
        <v>0</v>
      </c>
      <c r="P1108" s="672"/>
      <c r="Q1108" s="729" t="e">
        <f>IF(O1108="",0,P1108*L1108/'9b-Vloeronderhoud'!$F$6)</f>
        <v>#DIV/0!</v>
      </c>
      <c r="R1108" s="449">
        <v>1</v>
      </c>
      <c r="S1108" s="688" t="s">
        <v>179</v>
      </c>
      <c r="T1108" s="161">
        <f t="shared" si="91"/>
        <v>0</v>
      </c>
      <c r="U1108" s="162">
        <f>IF(S1108="nio",0,IF(S1108&gt;0,VLOOKUP(G1108,'3-Productie normen'!A:K,VLOOKUP(S1108,'3-Productie normen'!L:N,3,FALSE),FALSE)))</f>
        <v>0</v>
      </c>
      <c r="V1108" s="162">
        <f>VLOOKUP(G1108,'3-Productie normen'!A:K,10,FALSE)</f>
        <v>16013.110036668773</v>
      </c>
      <c r="W1108" s="163">
        <f>VLOOKUP(G1108,'3-Productie normen'!A:K,11,FALSE)</f>
        <v>0</v>
      </c>
      <c r="X1108" s="163"/>
      <c r="Z1108" s="129">
        <f t="shared" si="92"/>
        <v>0</v>
      </c>
    </row>
    <row r="1109" spans="1:26" ht="14.1" customHeight="1">
      <c r="A1109" s="144">
        <v>1147</v>
      </c>
      <c r="B1109" s="485" t="s">
        <v>252</v>
      </c>
      <c r="C1109" s="303" t="s">
        <v>746</v>
      </c>
      <c r="D1109" s="304" t="s">
        <v>98</v>
      </c>
      <c r="E1109" s="694" t="s">
        <v>326</v>
      </c>
      <c r="F1109" s="303" t="s">
        <v>754</v>
      </c>
      <c r="G1109" s="546" t="s">
        <v>287</v>
      </c>
      <c r="H1109" s="504" t="s">
        <v>375</v>
      </c>
      <c r="I1109" s="582" t="str">
        <f>VLOOKUP(H1109,'9a-Typen vloeren'!$A$10:$B$40,2,FALSE)</f>
        <v>n.v.t.</v>
      </c>
      <c r="J1109" s="433">
        <v>5</v>
      </c>
      <c r="K1109" s="433">
        <f t="shared" si="88"/>
        <v>0</v>
      </c>
      <c r="L1109" s="433">
        <f t="shared" si="89"/>
        <v>0</v>
      </c>
      <c r="M1109" s="433">
        <f t="shared" si="90"/>
        <v>0</v>
      </c>
      <c r="N1109" s="672"/>
      <c r="O1109" s="729">
        <f>IF(N1109="",0,N1109*K1109/'9b-Vloeronderhoud'!$F$4)</f>
        <v>0</v>
      </c>
      <c r="P1109" s="672"/>
      <c r="Q1109" s="729" t="e">
        <f>IF(O1109="",0,P1109*L1109/'9b-Vloeronderhoud'!$F$6)</f>
        <v>#DIV/0!</v>
      </c>
      <c r="R1109" s="449">
        <v>1</v>
      </c>
      <c r="S1109" s="672">
        <v>80</v>
      </c>
      <c r="T1109" s="161" t="e">
        <f t="shared" si="91"/>
        <v>#DIV/0!</v>
      </c>
      <c r="U1109" s="162">
        <f>IF(S1109="nio",0,IF(S1109&gt;0,VLOOKUP(G1109,'3-Productie normen'!A:K,VLOOKUP(S1109,'3-Productie normen'!L:N,3,FALSE),FALSE)))</f>
        <v>0</v>
      </c>
      <c r="V1109" s="162">
        <f>VLOOKUP(G1109,'3-Productie normen'!A:K,10,FALSE)</f>
        <v>519.460002565384</v>
      </c>
      <c r="W1109" s="163">
        <f>VLOOKUP(G1109,'3-Productie normen'!A:K,11,FALSE)</f>
        <v>0</v>
      </c>
      <c r="X1109" s="163"/>
      <c r="Z1109" s="129">
        <f t="shared" si="92"/>
        <v>400</v>
      </c>
    </row>
    <row r="1110" spans="1:26" ht="14.1" customHeight="1">
      <c r="A1110" s="144">
        <v>1148</v>
      </c>
      <c r="B1110" s="485" t="s">
        <v>252</v>
      </c>
      <c r="C1110" s="303" t="s">
        <v>746</v>
      </c>
      <c r="D1110" s="304" t="s">
        <v>98</v>
      </c>
      <c r="E1110" s="694" t="s">
        <v>328</v>
      </c>
      <c r="F1110" s="303" t="s">
        <v>404</v>
      </c>
      <c r="G1110" s="533" t="s">
        <v>286</v>
      </c>
      <c r="H1110" s="504" t="s">
        <v>375</v>
      </c>
      <c r="I1110" s="582" t="str">
        <f>VLOOKUP(H1110,'9a-Typen vloeren'!$A$10:$B$40,2,FALSE)</f>
        <v>n.v.t.</v>
      </c>
      <c r="J1110" s="433">
        <v>80</v>
      </c>
      <c r="K1110" s="433">
        <f t="shared" si="88"/>
        <v>0</v>
      </c>
      <c r="L1110" s="433">
        <f t="shared" si="89"/>
        <v>0</v>
      </c>
      <c r="M1110" s="433">
        <f t="shared" si="90"/>
        <v>0</v>
      </c>
      <c r="N1110" s="672"/>
      <c r="O1110" s="729">
        <f>IF(N1110="",0,N1110*K1110/'9b-Vloeronderhoud'!$F$4)</f>
        <v>0</v>
      </c>
      <c r="P1110" s="672"/>
      <c r="Q1110" s="729" t="e">
        <f>IF(O1110="",0,P1110*L1110/'9b-Vloeronderhoud'!$F$6)</f>
        <v>#DIV/0!</v>
      </c>
      <c r="R1110" s="449">
        <v>1</v>
      </c>
      <c r="S1110" s="672">
        <v>120</v>
      </c>
      <c r="T1110" s="161" t="e">
        <f t="shared" si="91"/>
        <v>#DIV/0!</v>
      </c>
      <c r="U1110" s="162">
        <f>IF(S1110="nio",0,IF(S1110&gt;0,VLOOKUP(G1110,'3-Productie normen'!A:K,VLOOKUP(S1110,'3-Productie normen'!L:N,3,FALSE),FALSE)))</f>
        <v>0</v>
      </c>
      <c r="V1110" s="162">
        <f>VLOOKUP(G1110,'3-Productie normen'!A:K,10,FALSE)</f>
        <v>6152.9500017547598</v>
      </c>
      <c r="W1110" s="163">
        <f>VLOOKUP(G1110,'3-Productie normen'!A:K,11,FALSE)</f>
        <v>0</v>
      </c>
      <c r="X1110" s="163"/>
      <c r="Z1110" s="129">
        <f t="shared" si="92"/>
        <v>9600</v>
      </c>
    </row>
    <row r="1111" spans="1:26" ht="14.1" customHeight="1">
      <c r="A1111" s="144">
        <v>1149</v>
      </c>
      <c r="B1111" s="485" t="s">
        <v>252</v>
      </c>
      <c r="C1111" s="303" t="s">
        <v>746</v>
      </c>
      <c r="D1111" s="304" t="s">
        <v>98</v>
      </c>
      <c r="E1111" s="694" t="s">
        <v>329</v>
      </c>
      <c r="F1111" s="303" t="s">
        <v>470</v>
      </c>
      <c r="G1111" s="460" t="s">
        <v>221</v>
      </c>
      <c r="H1111" s="504" t="s">
        <v>375</v>
      </c>
      <c r="I1111" s="582" t="str">
        <f>VLOOKUP(H1111,'9a-Typen vloeren'!$A$10:$B$40,2,FALSE)</f>
        <v>n.v.t.</v>
      </c>
      <c r="J1111" s="433">
        <v>50.5</v>
      </c>
      <c r="K1111" s="433">
        <f t="shared" si="88"/>
        <v>0</v>
      </c>
      <c r="L1111" s="433">
        <f t="shared" si="89"/>
        <v>0</v>
      </c>
      <c r="M1111" s="433">
        <f t="shared" si="90"/>
        <v>0</v>
      </c>
      <c r="N1111" s="672"/>
      <c r="O1111" s="729">
        <f>IF(N1111="",0,N1111*K1111/'9b-Vloeronderhoud'!$F$4)</f>
        <v>0</v>
      </c>
      <c r="P1111" s="672"/>
      <c r="Q1111" s="729" t="e">
        <f>IF(O1111="",0,P1111*L1111/'9b-Vloeronderhoud'!$F$6)</f>
        <v>#DIV/0!</v>
      </c>
      <c r="R1111" s="449">
        <v>1</v>
      </c>
      <c r="S1111" s="688" t="s">
        <v>179</v>
      </c>
      <c r="T1111" s="161">
        <f t="shared" si="91"/>
        <v>0</v>
      </c>
      <c r="U1111" s="162">
        <f>IF(S1111="nio",0,IF(S1111&gt;0,VLOOKUP(G1111,'3-Productie normen'!A:K,VLOOKUP(S1111,'3-Productie normen'!L:N,3,FALSE),FALSE)))</f>
        <v>0</v>
      </c>
      <c r="V1111" s="162">
        <f>VLOOKUP(G1111,'3-Productie normen'!A:K,10,FALSE)</f>
        <v>16013.110036668773</v>
      </c>
      <c r="W1111" s="163">
        <f>VLOOKUP(G1111,'3-Productie normen'!A:K,11,FALSE)</f>
        <v>0</v>
      </c>
      <c r="X1111" s="163"/>
      <c r="Z1111" s="129">
        <f t="shared" si="92"/>
        <v>0</v>
      </c>
    </row>
    <row r="1112" spans="1:26" ht="14.1" customHeight="1">
      <c r="A1112" s="144">
        <v>1150</v>
      </c>
      <c r="B1112" s="485" t="s">
        <v>252</v>
      </c>
      <c r="C1112" s="303" t="s">
        <v>746</v>
      </c>
      <c r="D1112" s="304" t="s">
        <v>98</v>
      </c>
      <c r="E1112" s="694" t="s">
        <v>330</v>
      </c>
      <c r="F1112" s="303" t="s">
        <v>755</v>
      </c>
      <c r="G1112" s="460" t="s">
        <v>221</v>
      </c>
      <c r="H1112" s="504" t="s">
        <v>375</v>
      </c>
      <c r="I1112" s="582" t="str">
        <f>VLOOKUP(H1112,'9a-Typen vloeren'!$A$10:$B$40,2,FALSE)</f>
        <v>n.v.t.</v>
      </c>
      <c r="J1112" s="433">
        <v>12.4</v>
      </c>
      <c r="K1112" s="433">
        <f t="shared" si="88"/>
        <v>0</v>
      </c>
      <c r="L1112" s="433">
        <f t="shared" si="89"/>
        <v>0</v>
      </c>
      <c r="M1112" s="433">
        <f t="shared" si="90"/>
        <v>0</v>
      </c>
      <c r="N1112" s="672"/>
      <c r="O1112" s="729">
        <f>IF(N1112="",0,N1112*K1112/'9b-Vloeronderhoud'!$F$4)</f>
        <v>0</v>
      </c>
      <c r="P1112" s="672"/>
      <c r="Q1112" s="729" t="e">
        <f>IF(O1112="",0,P1112*L1112/'9b-Vloeronderhoud'!$F$6)</f>
        <v>#DIV/0!</v>
      </c>
      <c r="R1112" s="449">
        <v>1</v>
      </c>
      <c r="S1112" s="672">
        <v>80</v>
      </c>
      <c r="T1112" s="161" t="e">
        <f t="shared" si="91"/>
        <v>#DIV/0!</v>
      </c>
      <c r="U1112" s="162">
        <f>IF(S1112="nio",0,IF(S1112&gt;0,VLOOKUP(G1112,'3-Productie normen'!A:K,VLOOKUP(S1112,'3-Productie normen'!L:N,3,FALSE),FALSE)))</f>
        <v>0</v>
      </c>
      <c r="V1112" s="162">
        <f>VLOOKUP(G1112,'3-Productie normen'!A:K,10,FALSE)</f>
        <v>16013.110036668773</v>
      </c>
      <c r="W1112" s="163">
        <f>VLOOKUP(G1112,'3-Productie normen'!A:K,11,FALSE)</f>
        <v>0</v>
      </c>
      <c r="X1112" s="163"/>
      <c r="Z1112" s="129">
        <f t="shared" si="92"/>
        <v>992</v>
      </c>
    </row>
    <row r="1113" spans="1:26" ht="14.1" customHeight="1">
      <c r="A1113" s="144">
        <v>1151</v>
      </c>
      <c r="B1113" s="485" t="s">
        <v>252</v>
      </c>
      <c r="C1113" s="303" t="s">
        <v>746</v>
      </c>
      <c r="D1113" s="304" t="s">
        <v>98</v>
      </c>
      <c r="E1113" s="694" t="s">
        <v>331</v>
      </c>
      <c r="F1113" s="303" t="s">
        <v>382</v>
      </c>
      <c r="G1113" s="460" t="s">
        <v>881</v>
      </c>
      <c r="H1113" s="504" t="s">
        <v>375</v>
      </c>
      <c r="I1113" s="582" t="str">
        <f>VLOOKUP(H1113,'9a-Typen vloeren'!$A$10:$B$40,2,FALSE)</f>
        <v>n.v.t.</v>
      </c>
      <c r="J1113" s="433">
        <v>8.9</v>
      </c>
      <c r="K1113" s="433">
        <f t="shared" si="88"/>
        <v>0</v>
      </c>
      <c r="L1113" s="433">
        <f t="shared" si="89"/>
        <v>0</v>
      </c>
      <c r="M1113" s="433">
        <f t="shared" si="90"/>
        <v>0</v>
      </c>
      <c r="N1113" s="672"/>
      <c r="O1113" s="729">
        <f>IF(N1113="",0,N1113*K1113/'9b-Vloeronderhoud'!$F$4)</f>
        <v>0</v>
      </c>
      <c r="P1113" s="672"/>
      <c r="Q1113" s="729" t="e">
        <f>IF(O1113="",0,P1113*L1113/'9b-Vloeronderhoud'!$F$6)</f>
        <v>#DIV/0!</v>
      </c>
      <c r="R1113" s="449">
        <v>1</v>
      </c>
      <c r="S1113" s="672" t="s">
        <v>179</v>
      </c>
      <c r="T1113" s="161">
        <f t="shared" si="91"/>
        <v>0</v>
      </c>
      <c r="U1113" s="162">
        <f>IF(S1113="nio",0,IF(S1113&gt;0,VLOOKUP(G1113,'3-Productie normen'!A:K,VLOOKUP(S1113,'3-Productie normen'!L:N,3,FALSE),FALSE)))</f>
        <v>0</v>
      </c>
      <c r="V1113" s="162">
        <f>VLOOKUP(G1113,'3-Productie normen'!A:K,10,FALSE)</f>
        <v>5262.809993648526</v>
      </c>
      <c r="W1113" s="163">
        <f>VLOOKUP(G1113,'3-Productie normen'!A:K,11,FALSE)</f>
        <v>0</v>
      </c>
      <c r="X1113" s="163"/>
      <c r="Z1113" s="129">
        <f t="shared" si="92"/>
        <v>0</v>
      </c>
    </row>
    <row r="1114" spans="1:26" ht="14.1" customHeight="1">
      <c r="A1114" s="144">
        <v>1152</v>
      </c>
      <c r="B1114" s="485" t="s">
        <v>252</v>
      </c>
      <c r="C1114" s="303" t="s">
        <v>746</v>
      </c>
      <c r="D1114" s="304" t="s">
        <v>98</v>
      </c>
      <c r="E1114" s="694" t="s">
        <v>406</v>
      </c>
      <c r="F1114" s="303" t="s">
        <v>559</v>
      </c>
      <c r="G1114" s="460" t="s">
        <v>881</v>
      </c>
      <c r="H1114" s="504" t="s">
        <v>375</v>
      </c>
      <c r="I1114" s="582" t="str">
        <f>VLOOKUP(H1114,'9a-Typen vloeren'!$A$10:$B$40,2,FALSE)</f>
        <v>n.v.t.</v>
      </c>
      <c r="J1114" s="433">
        <v>0.7</v>
      </c>
      <c r="K1114" s="433">
        <f t="shared" si="88"/>
        <v>0</v>
      </c>
      <c r="L1114" s="433">
        <f t="shared" si="89"/>
        <v>0</v>
      </c>
      <c r="M1114" s="433">
        <f t="shared" si="90"/>
        <v>0</v>
      </c>
      <c r="N1114" s="672"/>
      <c r="O1114" s="729">
        <f>IF(N1114="",0,N1114*K1114/'9b-Vloeronderhoud'!$F$4)</f>
        <v>0</v>
      </c>
      <c r="P1114" s="672"/>
      <c r="Q1114" s="729" t="e">
        <f>IF(O1114="",0,P1114*L1114/'9b-Vloeronderhoud'!$F$6)</f>
        <v>#DIV/0!</v>
      </c>
      <c r="R1114" s="449">
        <v>1</v>
      </c>
      <c r="S1114" s="672" t="s">
        <v>179</v>
      </c>
      <c r="T1114" s="161">
        <f t="shared" si="91"/>
        <v>0</v>
      </c>
      <c r="U1114" s="162">
        <f>IF(S1114="nio",0,IF(S1114&gt;0,VLOOKUP(G1114,'3-Productie normen'!A:K,VLOOKUP(S1114,'3-Productie normen'!L:N,3,FALSE),FALSE)))</f>
        <v>0</v>
      </c>
      <c r="V1114" s="162">
        <f>VLOOKUP(G1114,'3-Productie normen'!A:K,10,FALSE)</f>
        <v>5262.809993648526</v>
      </c>
      <c r="W1114" s="163">
        <f>VLOOKUP(G1114,'3-Productie normen'!A:K,11,FALSE)</f>
        <v>0</v>
      </c>
      <c r="X1114" s="163"/>
      <c r="Z1114" s="129">
        <f t="shared" si="92"/>
        <v>0</v>
      </c>
    </row>
    <row r="1115" spans="1:26" ht="14.1" customHeight="1">
      <c r="A1115" s="144">
        <v>1153</v>
      </c>
      <c r="B1115" s="485" t="s">
        <v>252</v>
      </c>
      <c r="C1115" s="303" t="s">
        <v>746</v>
      </c>
      <c r="D1115" s="304" t="s">
        <v>98</v>
      </c>
      <c r="E1115" s="694" t="s">
        <v>407</v>
      </c>
      <c r="F1115" s="494" t="s">
        <v>382</v>
      </c>
      <c r="G1115" s="460" t="s">
        <v>881</v>
      </c>
      <c r="H1115" s="504" t="s">
        <v>375</v>
      </c>
      <c r="I1115" s="582" t="str">
        <f>VLOOKUP(H1115,'9a-Typen vloeren'!$A$10:$B$40,2,FALSE)</f>
        <v>n.v.t.</v>
      </c>
      <c r="J1115" s="433">
        <v>14.1</v>
      </c>
      <c r="K1115" s="433">
        <f t="shared" si="88"/>
        <v>0</v>
      </c>
      <c r="L1115" s="433">
        <f t="shared" si="89"/>
        <v>0</v>
      </c>
      <c r="M1115" s="433">
        <f t="shared" si="90"/>
        <v>0</v>
      </c>
      <c r="N1115" s="672"/>
      <c r="O1115" s="729">
        <f>IF(N1115="",0,N1115*K1115/'9b-Vloeronderhoud'!$F$4)</f>
        <v>0</v>
      </c>
      <c r="P1115" s="672"/>
      <c r="Q1115" s="729" t="e">
        <f>IF(O1115="",0,P1115*L1115/'9b-Vloeronderhoud'!$F$6)</f>
        <v>#DIV/0!</v>
      </c>
      <c r="R1115" s="449">
        <v>1</v>
      </c>
      <c r="S1115" s="672" t="s">
        <v>179</v>
      </c>
      <c r="T1115" s="161">
        <f t="shared" si="91"/>
        <v>0</v>
      </c>
      <c r="U1115" s="162">
        <f>IF(S1115="nio",0,IF(S1115&gt;0,VLOOKUP(G1115,'3-Productie normen'!A:K,VLOOKUP(S1115,'3-Productie normen'!L:N,3,FALSE),FALSE)))</f>
        <v>0</v>
      </c>
      <c r="V1115" s="162">
        <f>VLOOKUP(G1115,'3-Productie normen'!A:K,10,FALSE)</f>
        <v>5262.809993648526</v>
      </c>
      <c r="W1115" s="163">
        <f>VLOOKUP(G1115,'3-Productie normen'!A:K,11,FALSE)</f>
        <v>0</v>
      </c>
      <c r="X1115" s="163"/>
      <c r="Z1115" s="129">
        <f t="shared" si="92"/>
        <v>0</v>
      </c>
    </row>
    <row r="1116" spans="1:26" ht="14.1" customHeight="1">
      <c r="A1116" s="144">
        <v>1154</v>
      </c>
      <c r="B1116" s="485" t="s">
        <v>252</v>
      </c>
      <c r="C1116" s="303" t="s">
        <v>746</v>
      </c>
      <c r="D1116" s="304" t="s">
        <v>98</v>
      </c>
      <c r="E1116" s="694" t="s">
        <v>408</v>
      </c>
      <c r="F1116" s="303" t="s">
        <v>755</v>
      </c>
      <c r="G1116" s="460" t="s">
        <v>221</v>
      </c>
      <c r="H1116" s="504" t="s">
        <v>375</v>
      </c>
      <c r="I1116" s="582" t="str">
        <f>VLOOKUP(H1116,'9a-Typen vloeren'!$A$10:$B$40,2,FALSE)</f>
        <v>n.v.t.</v>
      </c>
      <c r="J1116" s="433">
        <v>12.8</v>
      </c>
      <c r="K1116" s="433">
        <f t="shared" si="88"/>
        <v>0</v>
      </c>
      <c r="L1116" s="433">
        <f t="shared" si="89"/>
        <v>0</v>
      </c>
      <c r="M1116" s="433">
        <f t="shared" si="90"/>
        <v>0</v>
      </c>
      <c r="N1116" s="672"/>
      <c r="O1116" s="729">
        <f>IF(N1116="",0,N1116*K1116/'9b-Vloeronderhoud'!$F$4)</f>
        <v>0</v>
      </c>
      <c r="P1116" s="672"/>
      <c r="Q1116" s="729" t="e">
        <f>IF(O1116="",0,P1116*L1116/'9b-Vloeronderhoud'!$F$6)</f>
        <v>#DIV/0!</v>
      </c>
      <c r="R1116" s="449">
        <v>1</v>
      </c>
      <c r="S1116" s="672">
        <v>80</v>
      </c>
      <c r="T1116" s="161" t="e">
        <f t="shared" si="91"/>
        <v>#DIV/0!</v>
      </c>
      <c r="U1116" s="162">
        <f>IF(S1116="nio",0,IF(S1116&gt;0,VLOOKUP(G1116,'3-Productie normen'!A:K,VLOOKUP(S1116,'3-Productie normen'!L:N,3,FALSE),FALSE)))</f>
        <v>0</v>
      </c>
      <c r="V1116" s="162">
        <f>VLOOKUP(G1116,'3-Productie normen'!A:K,10,FALSE)</f>
        <v>16013.110036668773</v>
      </c>
      <c r="W1116" s="163">
        <f>VLOOKUP(G1116,'3-Productie normen'!A:K,11,FALSE)</f>
        <v>0</v>
      </c>
      <c r="X1116" s="163"/>
      <c r="Z1116" s="129">
        <f t="shared" si="92"/>
        <v>1024</v>
      </c>
    </row>
    <row r="1117" spans="1:26" ht="14.1" customHeight="1">
      <c r="A1117" s="144">
        <v>1155</v>
      </c>
      <c r="B1117" s="485" t="s">
        <v>252</v>
      </c>
      <c r="C1117" s="303" t="s">
        <v>746</v>
      </c>
      <c r="D1117" s="304" t="s">
        <v>98</v>
      </c>
      <c r="E1117" s="694" t="s">
        <v>414</v>
      </c>
      <c r="F1117" s="126" t="s">
        <v>470</v>
      </c>
      <c r="G1117" s="122" t="s">
        <v>221</v>
      </c>
      <c r="H1117" s="504" t="s">
        <v>375</v>
      </c>
      <c r="I1117" s="582" t="str">
        <f>VLOOKUP(H1117,'9a-Typen vloeren'!$A$10:$B$40,2,FALSE)</f>
        <v>n.v.t.</v>
      </c>
      <c r="J1117" s="433">
        <v>50.5</v>
      </c>
      <c r="K1117" s="433">
        <f t="shared" si="88"/>
        <v>0</v>
      </c>
      <c r="L1117" s="433">
        <f t="shared" si="89"/>
        <v>0</v>
      </c>
      <c r="M1117" s="433">
        <f t="shared" si="90"/>
        <v>0</v>
      </c>
      <c r="N1117" s="672"/>
      <c r="O1117" s="729">
        <f>IF(N1117="",0,N1117*K1117/'9b-Vloeronderhoud'!$F$4)</f>
        <v>0</v>
      </c>
      <c r="P1117" s="672"/>
      <c r="Q1117" s="729" t="e">
        <f>IF(O1117="",0,P1117*L1117/'9b-Vloeronderhoud'!$F$6)</f>
        <v>#DIV/0!</v>
      </c>
      <c r="R1117" s="449">
        <v>1</v>
      </c>
      <c r="S1117" s="672">
        <v>80</v>
      </c>
      <c r="T1117" s="161" t="e">
        <f t="shared" si="91"/>
        <v>#DIV/0!</v>
      </c>
      <c r="U1117" s="162">
        <f>IF(S1117="nio",0,IF(S1117&gt;0,VLOOKUP(G1117,'3-Productie normen'!A:K,VLOOKUP(S1117,'3-Productie normen'!L:N,3,FALSE),FALSE)))</f>
        <v>0</v>
      </c>
      <c r="V1117" s="162">
        <f>VLOOKUP(G1117,'3-Productie normen'!A:K,10,FALSE)</f>
        <v>16013.110036668773</v>
      </c>
      <c r="W1117" s="163">
        <f>VLOOKUP(G1117,'3-Productie normen'!A:K,11,FALSE)</f>
        <v>0</v>
      </c>
      <c r="X1117" s="163"/>
      <c r="Z1117" s="129">
        <f t="shared" si="92"/>
        <v>4040</v>
      </c>
    </row>
    <row r="1118" spans="1:26" ht="14.1" customHeight="1">
      <c r="A1118" s="144">
        <v>1156</v>
      </c>
      <c r="B1118" s="485" t="s">
        <v>252</v>
      </c>
      <c r="C1118" s="303" t="s">
        <v>746</v>
      </c>
      <c r="D1118" s="304" t="s">
        <v>98</v>
      </c>
      <c r="E1118" s="694" t="s">
        <v>756</v>
      </c>
      <c r="F1118" s="303" t="s">
        <v>751</v>
      </c>
      <c r="G1118" s="4" t="s">
        <v>18</v>
      </c>
      <c r="H1118" s="504" t="s">
        <v>375</v>
      </c>
      <c r="I1118" s="582" t="str">
        <f>VLOOKUP(H1118,'9a-Typen vloeren'!$A$10:$B$40,2,FALSE)</f>
        <v>n.v.t.</v>
      </c>
      <c r="J1118" s="433">
        <v>2.1</v>
      </c>
      <c r="K1118" s="433">
        <f t="shared" si="88"/>
        <v>0</v>
      </c>
      <c r="L1118" s="433">
        <f t="shared" si="89"/>
        <v>0</v>
      </c>
      <c r="M1118" s="433">
        <f t="shared" si="90"/>
        <v>0</v>
      </c>
      <c r="N1118" s="672"/>
      <c r="O1118" s="729">
        <f>IF(N1118="",0,N1118*K1118/'9b-Vloeronderhoud'!$F$4)</f>
        <v>0</v>
      </c>
      <c r="P1118" s="672"/>
      <c r="Q1118" s="729" t="e">
        <f>IF(O1118="",0,P1118*L1118/'9b-Vloeronderhoud'!$F$6)</f>
        <v>#DIV/0!</v>
      </c>
      <c r="R1118" s="449">
        <v>1</v>
      </c>
      <c r="S1118" s="672">
        <v>190</v>
      </c>
      <c r="T1118" s="161" t="e">
        <f t="shared" si="91"/>
        <v>#DIV/0!</v>
      </c>
      <c r="U1118" s="162">
        <f>IF(S1118="nio",0,IF(S1118&gt;0,VLOOKUP(G1118,'3-Productie normen'!A:K,VLOOKUP(S1118,'3-Productie normen'!L:N,3,FALSE),FALSE)))</f>
        <v>0</v>
      </c>
      <c r="V1118" s="162">
        <f>VLOOKUP(G1118,'3-Productie normen'!A:K,10,FALSE)</f>
        <v>1859.5880019121171</v>
      </c>
      <c r="W1118" s="163">
        <f>VLOOKUP(G1118,'3-Productie normen'!A:K,11,FALSE)</f>
        <v>0</v>
      </c>
      <c r="X1118" s="163"/>
      <c r="Z1118" s="129">
        <f t="shared" si="92"/>
        <v>399</v>
      </c>
    </row>
    <row r="1119" spans="1:26" ht="14.1" customHeight="1">
      <c r="A1119" s="144">
        <v>1157</v>
      </c>
      <c r="B1119" s="485" t="s">
        <v>252</v>
      </c>
      <c r="C1119" s="303" t="s">
        <v>746</v>
      </c>
      <c r="D1119" s="304" t="s">
        <v>98</v>
      </c>
      <c r="E1119" s="694" t="s">
        <v>417</v>
      </c>
      <c r="F1119" s="303" t="s">
        <v>281</v>
      </c>
      <c r="G1119" s="460" t="s">
        <v>881</v>
      </c>
      <c r="H1119" s="504" t="s">
        <v>375</v>
      </c>
      <c r="I1119" s="582" t="str">
        <f>VLOOKUP(H1119,'9a-Typen vloeren'!$A$10:$B$40,2,FALSE)</f>
        <v>n.v.t.</v>
      </c>
      <c r="J1119" s="433">
        <v>1.1000000000000001</v>
      </c>
      <c r="K1119" s="433">
        <f t="shared" si="88"/>
        <v>0</v>
      </c>
      <c r="L1119" s="433">
        <f t="shared" si="89"/>
        <v>0</v>
      </c>
      <c r="M1119" s="433">
        <f t="shared" si="90"/>
        <v>0</v>
      </c>
      <c r="N1119" s="672"/>
      <c r="O1119" s="729">
        <f>IF(N1119="",0,N1119*K1119/'9b-Vloeronderhoud'!$F$4)</f>
        <v>0</v>
      </c>
      <c r="P1119" s="672"/>
      <c r="Q1119" s="729" t="e">
        <f>IF(O1119="",0,P1119*L1119/'9b-Vloeronderhoud'!$F$6)</f>
        <v>#DIV/0!</v>
      </c>
      <c r="R1119" s="449">
        <v>1</v>
      </c>
      <c r="S1119" s="672" t="s">
        <v>179</v>
      </c>
      <c r="T1119" s="161">
        <f t="shared" si="91"/>
        <v>0</v>
      </c>
      <c r="U1119" s="162">
        <f>IF(S1119="nio",0,IF(S1119&gt;0,VLOOKUP(G1119,'3-Productie normen'!A:K,VLOOKUP(S1119,'3-Productie normen'!L:N,3,FALSE),FALSE)))</f>
        <v>0</v>
      </c>
      <c r="V1119" s="162">
        <f>VLOOKUP(G1119,'3-Productie normen'!A:K,10,FALSE)</f>
        <v>5262.809993648526</v>
      </c>
      <c r="W1119" s="163">
        <f>VLOOKUP(G1119,'3-Productie normen'!A:K,11,FALSE)</f>
        <v>0</v>
      </c>
      <c r="X1119" s="163"/>
      <c r="Z1119" s="129">
        <f t="shared" si="92"/>
        <v>0</v>
      </c>
    </row>
    <row r="1120" spans="1:26" ht="14.1" customHeight="1">
      <c r="A1120" s="144">
        <v>1158</v>
      </c>
      <c r="B1120" s="485" t="s">
        <v>252</v>
      </c>
      <c r="C1120" s="303" t="s">
        <v>746</v>
      </c>
      <c r="D1120" s="304" t="s">
        <v>98</v>
      </c>
      <c r="E1120" s="694" t="s">
        <v>418</v>
      </c>
      <c r="F1120" s="303" t="s">
        <v>757</v>
      </c>
      <c r="G1120" s="546" t="s">
        <v>18</v>
      </c>
      <c r="H1120" s="504" t="s">
        <v>375</v>
      </c>
      <c r="I1120" s="582" t="str">
        <f>VLOOKUP(H1120,'9a-Typen vloeren'!$A$10:$B$40,2,FALSE)</f>
        <v>n.v.t.</v>
      </c>
      <c r="J1120" s="433">
        <v>3.5</v>
      </c>
      <c r="K1120" s="433">
        <f t="shared" si="88"/>
        <v>0</v>
      </c>
      <c r="L1120" s="433">
        <f t="shared" si="89"/>
        <v>0</v>
      </c>
      <c r="M1120" s="433">
        <f t="shared" si="90"/>
        <v>0</v>
      </c>
      <c r="N1120" s="672"/>
      <c r="O1120" s="729">
        <f>IF(N1120="",0,N1120*K1120/'9b-Vloeronderhoud'!$F$4)</f>
        <v>0</v>
      </c>
      <c r="P1120" s="672"/>
      <c r="Q1120" s="729" t="e">
        <f>IF(O1120="",0,P1120*L1120/'9b-Vloeronderhoud'!$F$6)</f>
        <v>#DIV/0!</v>
      </c>
      <c r="R1120" s="449">
        <v>1</v>
      </c>
      <c r="S1120" s="672">
        <v>190</v>
      </c>
      <c r="T1120" s="161" t="e">
        <f t="shared" si="91"/>
        <v>#DIV/0!</v>
      </c>
      <c r="U1120" s="162">
        <f>IF(S1120="nio",0,IF(S1120&gt;0,VLOOKUP(G1120,'3-Productie normen'!A:K,VLOOKUP(S1120,'3-Productie normen'!L:N,3,FALSE),FALSE)))</f>
        <v>0</v>
      </c>
      <c r="V1120" s="162">
        <f>VLOOKUP(G1120,'3-Productie normen'!A:K,10,FALSE)</f>
        <v>1859.5880019121171</v>
      </c>
      <c r="W1120" s="163">
        <f>VLOOKUP(G1120,'3-Productie normen'!A:K,11,FALSE)</f>
        <v>0</v>
      </c>
      <c r="X1120" s="163"/>
      <c r="Z1120" s="129">
        <f t="shared" si="92"/>
        <v>665</v>
      </c>
    </row>
    <row r="1121" spans="1:26" ht="14.1" customHeight="1">
      <c r="A1121" s="144">
        <v>1159</v>
      </c>
      <c r="B1121" s="485" t="s">
        <v>252</v>
      </c>
      <c r="C1121" s="303" t="s">
        <v>746</v>
      </c>
      <c r="D1121" s="304" t="s">
        <v>98</v>
      </c>
      <c r="E1121" s="694" t="s">
        <v>521</v>
      </c>
      <c r="F1121" s="303" t="s">
        <v>489</v>
      </c>
      <c r="G1121" s="546" t="s">
        <v>99</v>
      </c>
      <c r="H1121" s="504" t="s">
        <v>375</v>
      </c>
      <c r="I1121" s="582" t="str">
        <f>VLOOKUP(H1121,'9a-Typen vloeren'!$A$10:$B$40,2,FALSE)</f>
        <v>n.v.t.</v>
      </c>
      <c r="J1121" s="433">
        <v>3.5</v>
      </c>
      <c r="K1121" s="433">
        <f t="shared" si="88"/>
        <v>0</v>
      </c>
      <c r="L1121" s="433">
        <f t="shared" si="89"/>
        <v>0</v>
      </c>
      <c r="M1121" s="433">
        <f t="shared" si="90"/>
        <v>0</v>
      </c>
      <c r="N1121" s="672"/>
      <c r="O1121" s="729">
        <f>IF(N1121="",0,N1121*K1121/'9b-Vloeronderhoud'!$F$4)</f>
        <v>0</v>
      </c>
      <c r="P1121" s="672"/>
      <c r="Q1121" s="729" t="e">
        <f>IF(O1121="",0,P1121*L1121/'9b-Vloeronderhoud'!$F$6)</f>
        <v>#DIV/0!</v>
      </c>
      <c r="R1121" s="449">
        <v>1</v>
      </c>
      <c r="S1121" s="672">
        <v>190</v>
      </c>
      <c r="T1121" s="161" t="e">
        <f t="shared" si="91"/>
        <v>#DIV/0!</v>
      </c>
      <c r="U1121" s="162">
        <f>IF(S1121="nio",0,IF(S1121&gt;0,VLOOKUP(G1121,'3-Productie normen'!A:K,VLOOKUP(S1121,'3-Productie normen'!L:N,3,FALSE),FALSE)))</f>
        <v>0</v>
      </c>
      <c r="V1121" s="162">
        <f>VLOOKUP(G1121,'3-Productie normen'!A:K,10,FALSE)</f>
        <v>726.97999910354622</v>
      </c>
      <c r="W1121" s="163">
        <f>VLOOKUP(G1121,'3-Productie normen'!A:K,11,FALSE)</f>
        <v>0</v>
      </c>
      <c r="X1121" s="163"/>
      <c r="Z1121" s="129">
        <f t="shared" si="92"/>
        <v>665</v>
      </c>
    </row>
    <row r="1122" spans="1:26" ht="14.1" customHeight="1">
      <c r="A1122" s="144">
        <v>1160</v>
      </c>
      <c r="B1122" s="485" t="s">
        <v>252</v>
      </c>
      <c r="C1122" s="303" t="s">
        <v>746</v>
      </c>
      <c r="D1122" s="304" t="s">
        <v>98</v>
      </c>
      <c r="E1122" s="694" t="s">
        <v>758</v>
      </c>
      <c r="F1122" s="303" t="s">
        <v>751</v>
      </c>
      <c r="G1122" s="533" t="s">
        <v>18</v>
      </c>
      <c r="H1122" s="504" t="s">
        <v>375</v>
      </c>
      <c r="I1122" s="582" t="str">
        <f>VLOOKUP(H1122,'9a-Typen vloeren'!$A$10:$B$40,2,FALSE)</f>
        <v>n.v.t.</v>
      </c>
      <c r="J1122" s="433">
        <v>3.4</v>
      </c>
      <c r="K1122" s="433">
        <f t="shared" si="88"/>
        <v>0</v>
      </c>
      <c r="L1122" s="433">
        <f t="shared" si="89"/>
        <v>0</v>
      </c>
      <c r="M1122" s="433">
        <f t="shared" si="90"/>
        <v>0</v>
      </c>
      <c r="N1122" s="672"/>
      <c r="O1122" s="729">
        <f>IF(N1122="",0,N1122*K1122/'9b-Vloeronderhoud'!$F$4)</f>
        <v>0</v>
      </c>
      <c r="P1122" s="672"/>
      <c r="Q1122" s="729" t="e">
        <f>IF(O1122="",0,P1122*L1122/'9b-Vloeronderhoud'!$F$6)</f>
        <v>#DIV/0!</v>
      </c>
      <c r="R1122" s="449">
        <v>1</v>
      </c>
      <c r="S1122" s="672">
        <v>190</v>
      </c>
      <c r="T1122" s="161" t="e">
        <f t="shared" si="91"/>
        <v>#DIV/0!</v>
      </c>
      <c r="U1122" s="162">
        <f>IF(S1122="nio",0,IF(S1122&gt;0,VLOOKUP(G1122,'3-Productie normen'!A:K,VLOOKUP(S1122,'3-Productie normen'!L:N,3,FALSE),FALSE)))</f>
        <v>0</v>
      </c>
      <c r="V1122" s="162">
        <f>VLOOKUP(G1122,'3-Productie normen'!A:K,10,FALSE)</f>
        <v>1859.5880019121171</v>
      </c>
      <c r="W1122" s="163">
        <f>VLOOKUP(G1122,'3-Productie normen'!A:K,11,FALSE)</f>
        <v>0</v>
      </c>
      <c r="X1122" s="163"/>
      <c r="Z1122" s="129">
        <f t="shared" si="92"/>
        <v>646</v>
      </c>
    </row>
    <row r="1123" spans="1:26" ht="14.1" customHeight="1">
      <c r="A1123" s="144">
        <v>1161</v>
      </c>
      <c r="B1123" s="485" t="s">
        <v>252</v>
      </c>
      <c r="C1123" s="303" t="s">
        <v>746</v>
      </c>
      <c r="D1123" s="304" t="s">
        <v>98</v>
      </c>
      <c r="E1123" s="694" t="s">
        <v>524</v>
      </c>
      <c r="F1123" s="303" t="s">
        <v>445</v>
      </c>
      <c r="G1123" s="460" t="s">
        <v>189</v>
      </c>
      <c r="H1123" s="504" t="s">
        <v>375</v>
      </c>
      <c r="I1123" s="582" t="str">
        <f>VLOOKUP(H1123,'9a-Typen vloeren'!$A$10:$B$40,2,FALSE)</f>
        <v>n.v.t.</v>
      </c>
      <c r="J1123" s="433">
        <v>21.2</v>
      </c>
      <c r="K1123" s="433">
        <f t="shared" si="88"/>
        <v>0</v>
      </c>
      <c r="L1123" s="433">
        <f t="shared" si="89"/>
        <v>0</v>
      </c>
      <c r="M1123" s="433">
        <f t="shared" si="90"/>
        <v>0</v>
      </c>
      <c r="N1123" s="672"/>
      <c r="O1123" s="729">
        <f>IF(N1123="",0,N1123*K1123/'9b-Vloeronderhoud'!$F$4)</f>
        <v>0</v>
      </c>
      <c r="P1123" s="672"/>
      <c r="Q1123" s="729" t="e">
        <f>IF(O1123="",0,P1123*L1123/'9b-Vloeronderhoud'!$F$6)</f>
        <v>#DIV/0!</v>
      </c>
      <c r="R1123" s="449">
        <v>1</v>
      </c>
      <c r="S1123" s="672">
        <v>40</v>
      </c>
      <c r="T1123" s="161" t="e">
        <f t="shared" si="91"/>
        <v>#DIV/0!</v>
      </c>
      <c r="U1123" s="162">
        <f>IF(S1123="nio",0,IF(S1123&gt;0,VLOOKUP(G1123,'3-Productie normen'!A:K,VLOOKUP(S1123,'3-Productie normen'!L:N,3,FALSE),FALSE)))</f>
        <v>0</v>
      </c>
      <c r="V1123" s="162">
        <f>VLOOKUP(G1123,'3-Productie normen'!A:K,10,FALSE)</f>
        <v>1494.1700078582762</v>
      </c>
      <c r="W1123" s="163">
        <f>VLOOKUP(G1123,'3-Productie normen'!A:K,11,FALSE)</f>
        <v>0</v>
      </c>
      <c r="X1123" s="163"/>
      <c r="Z1123" s="129">
        <f t="shared" si="92"/>
        <v>848</v>
      </c>
    </row>
    <row r="1124" spans="1:26" ht="14.1" customHeight="1">
      <c r="A1124" s="144">
        <v>1162</v>
      </c>
      <c r="B1124" s="485" t="s">
        <v>252</v>
      </c>
      <c r="C1124" s="303" t="s">
        <v>746</v>
      </c>
      <c r="D1124" s="304" t="s">
        <v>98</v>
      </c>
      <c r="E1124" s="694" t="s">
        <v>538</v>
      </c>
      <c r="F1124" s="303" t="s">
        <v>559</v>
      </c>
      <c r="G1124" s="460" t="s">
        <v>881</v>
      </c>
      <c r="H1124" s="504" t="s">
        <v>375</v>
      </c>
      <c r="I1124" s="582" t="str">
        <f>VLOOKUP(H1124,'9a-Typen vloeren'!$A$10:$B$40,2,FALSE)</f>
        <v>n.v.t.</v>
      </c>
      <c r="J1124" s="433">
        <v>2</v>
      </c>
      <c r="K1124" s="433">
        <f t="shared" si="88"/>
        <v>0</v>
      </c>
      <c r="L1124" s="433">
        <f t="shared" si="89"/>
        <v>0</v>
      </c>
      <c r="M1124" s="433">
        <f t="shared" si="90"/>
        <v>0</v>
      </c>
      <c r="N1124" s="672"/>
      <c r="O1124" s="729">
        <f>IF(N1124="",0,N1124*K1124/'9b-Vloeronderhoud'!$F$4)</f>
        <v>0</v>
      </c>
      <c r="P1124" s="672"/>
      <c r="Q1124" s="729" t="e">
        <f>IF(O1124="",0,P1124*L1124/'9b-Vloeronderhoud'!$F$6)</f>
        <v>#DIV/0!</v>
      </c>
      <c r="R1124" s="449">
        <v>1</v>
      </c>
      <c r="S1124" s="672" t="s">
        <v>179</v>
      </c>
      <c r="T1124" s="161">
        <f t="shared" si="91"/>
        <v>0</v>
      </c>
      <c r="U1124" s="162">
        <f>IF(S1124="nio",0,IF(S1124&gt;0,VLOOKUP(G1124,'3-Productie normen'!A:K,VLOOKUP(S1124,'3-Productie normen'!L:N,3,FALSE),FALSE)))</f>
        <v>0</v>
      </c>
      <c r="V1124" s="162">
        <f>VLOOKUP(G1124,'3-Productie normen'!A:K,10,FALSE)</f>
        <v>5262.809993648526</v>
      </c>
      <c r="W1124" s="163">
        <f>VLOOKUP(G1124,'3-Productie normen'!A:K,11,FALSE)</f>
        <v>0</v>
      </c>
      <c r="X1124" s="163"/>
      <c r="Z1124" s="129">
        <f t="shared" si="92"/>
        <v>0</v>
      </c>
    </row>
    <row r="1125" spans="1:26" ht="14.1" customHeight="1">
      <c r="A1125" s="144">
        <v>1163</v>
      </c>
      <c r="B1125" s="485" t="s">
        <v>252</v>
      </c>
      <c r="C1125" s="303" t="s">
        <v>746</v>
      </c>
      <c r="D1125" s="304" t="s">
        <v>98</v>
      </c>
      <c r="E1125" s="694" t="s">
        <v>525</v>
      </c>
      <c r="F1125" s="303" t="s">
        <v>266</v>
      </c>
      <c r="G1125" s="460" t="s">
        <v>881</v>
      </c>
      <c r="H1125" s="504" t="s">
        <v>375</v>
      </c>
      <c r="I1125" s="582" t="str">
        <f>VLOOKUP(H1125,'9a-Typen vloeren'!$A$10:$B$40,2,FALSE)</f>
        <v>n.v.t.</v>
      </c>
      <c r="J1125" s="433">
        <v>2</v>
      </c>
      <c r="K1125" s="433">
        <f t="shared" si="88"/>
        <v>0</v>
      </c>
      <c r="L1125" s="433">
        <f t="shared" si="89"/>
        <v>0</v>
      </c>
      <c r="M1125" s="433">
        <f t="shared" si="90"/>
        <v>0</v>
      </c>
      <c r="N1125" s="672"/>
      <c r="O1125" s="729">
        <f>IF(N1125="",0,N1125*K1125/'9b-Vloeronderhoud'!$F$4)</f>
        <v>0</v>
      </c>
      <c r="P1125" s="672"/>
      <c r="Q1125" s="729" t="e">
        <f>IF(O1125="",0,P1125*L1125/'9b-Vloeronderhoud'!$F$6)</f>
        <v>#DIV/0!</v>
      </c>
      <c r="R1125" s="449">
        <v>1</v>
      </c>
      <c r="S1125" s="672" t="s">
        <v>179</v>
      </c>
      <c r="T1125" s="161">
        <f t="shared" si="91"/>
        <v>0</v>
      </c>
      <c r="U1125" s="162">
        <f>IF(S1125="nio",0,IF(S1125&gt;0,VLOOKUP(G1125,'3-Productie normen'!A:K,VLOOKUP(S1125,'3-Productie normen'!L:N,3,FALSE),FALSE)))</f>
        <v>0</v>
      </c>
      <c r="V1125" s="162">
        <f>VLOOKUP(G1125,'3-Productie normen'!A:K,10,FALSE)</f>
        <v>5262.809993648526</v>
      </c>
      <c r="W1125" s="163">
        <f>VLOOKUP(G1125,'3-Productie normen'!A:K,11,FALSE)</f>
        <v>0</v>
      </c>
      <c r="X1125" s="163"/>
      <c r="Z1125" s="129">
        <f t="shared" si="92"/>
        <v>0</v>
      </c>
    </row>
    <row r="1126" spans="1:26" ht="14.1" customHeight="1">
      <c r="A1126" s="144">
        <v>1164</v>
      </c>
      <c r="B1126" s="485" t="s">
        <v>252</v>
      </c>
      <c r="C1126" s="303" t="s">
        <v>746</v>
      </c>
      <c r="D1126" s="304" t="s">
        <v>98</v>
      </c>
      <c r="E1126" s="694" t="s">
        <v>539</v>
      </c>
      <c r="F1126" s="303" t="s">
        <v>556</v>
      </c>
      <c r="G1126" s="460" t="s">
        <v>299</v>
      </c>
      <c r="H1126" s="504" t="s">
        <v>375</v>
      </c>
      <c r="I1126" s="582" t="str">
        <f>VLOOKUP(H1126,'9a-Typen vloeren'!$A$10:$B$40,2,FALSE)</f>
        <v>n.v.t.</v>
      </c>
      <c r="J1126" s="433">
        <v>25.5</v>
      </c>
      <c r="K1126" s="433">
        <f t="shared" si="88"/>
        <v>0</v>
      </c>
      <c r="L1126" s="433">
        <f t="shared" si="89"/>
        <v>0</v>
      </c>
      <c r="M1126" s="433">
        <f t="shared" si="90"/>
        <v>0</v>
      </c>
      <c r="N1126" s="672"/>
      <c r="O1126" s="729">
        <f>IF(N1126="",0,N1126*K1126/'9b-Vloeronderhoud'!$F$4)</f>
        <v>0</v>
      </c>
      <c r="P1126" s="672"/>
      <c r="Q1126" s="729" t="e">
        <f>IF(O1126="",0,P1126*L1126/'9b-Vloeronderhoud'!$F$6)</f>
        <v>#DIV/0!</v>
      </c>
      <c r="R1126" s="449">
        <v>1</v>
      </c>
      <c r="S1126" s="672">
        <v>40</v>
      </c>
      <c r="T1126" s="161" t="e">
        <f t="shared" si="91"/>
        <v>#DIV/0!</v>
      </c>
      <c r="U1126" s="162">
        <f>IF(S1126="nio",0,IF(S1126&gt;0,VLOOKUP(G1126,'3-Productie normen'!A:K,VLOOKUP(S1126,'3-Productie normen'!L:N,3,FALSE),FALSE)))</f>
        <v>0</v>
      </c>
      <c r="V1126" s="162">
        <f>VLOOKUP(G1126,'3-Productie normen'!A:K,10,FALSE)</f>
        <v>1107.9100014114381</v>
      </c>
      <c r="W1126" s="163">
        <f>VLOOKUP(G1126,'3-Productie normen'!A:K,11,FALSE)</f>
        <v>0</v>
      </c>
      <c r="X1126" s="163"/>
      <c r="Z1126" s="129">
        <f t="shared" si="92"/>
        <v>1020</v>
      </c>
    </row>
    <row r="1127" spans="1:26" ht="14.1" customHeight="1">
      <c r="A1127" s="144">
        <v>1165</v>
      </c>
      <c r="B1127" s="485" t="s">
        <v>252</v>
      </c>
      <c r="C1127" s="303" t="s">
        <v>746</v>
      </c>
      <c r="D1127" s="304" t="s">
        <v>98</v>
      </c>
      <c r="E1127" s="694" t="s">
        <v>527</v>
      </c>
      <c r="F1127" s="303" t="s">
        <v>496</v>
      </c>
      <c r="G1127" s="460" t="s">
        <v>190</v>
      </c>
      <c r="H1127" s="504" t="s">
        <v>375</v>
      </c>
      <c r="I1127" s="582" t="str">
        <f>VLOOKUP(H1127,'9a-Typen vloeren'!$A$10:$B$40,2,FALSE)</f>
        <v>n.v.t.</v>
      </c>
      <c r="J1127" s="433">
        <v>5</v>
      </c>
      <c r="K1127" s="433">
        <f t="shared" si="88"/>
        <v>0</v>
      </c>
      <c r="L1127" s="433">
        <f t="shared" si="89"/>
        <v>0</v>
      </c>
      <c r="M1127" s="433">
        <f t="shared" si="90"/>
        <v>0</v>
      </c>
      <c r="N1127" s="672"/>
      <c r="O1127" s="729">
        <f>IF(N1127="",0,N1127*K1127/'9b-Vloeronderhoud'!$F$4)</f>
        <v>0</v>
      </c>
      <c r="P1127" s="672"/>
      <c r="Q1127" s="729" t="e">
        <f>IF(O1127="",0,P1127*L1127/'9b-Vloeronderhoud'!$F$6)</f>
        <v>#DIV/0!</v>
      </c>
      <c r="R1127" s="449">
        <v>1</v>
      </c>
      <c r="S1127" s="672">
        <v>40</v>
      </c>
      <c r="T1127" s="161" t="e">
        <f t="shared" si="91"/>
        <v>#DIV/0!</v>
      </c>
      <c r="U1127" s="162">
        <f>IF(S1127="nio",0,IF(S1127&gt;0,VLOOKUP(G1127,'3-Productie normen'!A:K,VLOOKUP(S1127,'3-Productie normen'!L:N,3,FALSE),FALSE)))</f>
        <v>0</v>
      </c>
      <c r="V1127" s="162">
        <f>VLOOKUP(G1127,'3-Productie normen'!A:K,10,FALSE)</f>
        <v>281.65000052452086</v>
      </c>
      <c r="W1127" s="163">
        <f>VLOOKUP(G1127,'3-Productie normen'!A:K,11,FALSE)</f>
        <v>0</v>
      </c>
      <c r="X1127" s="163"/>
      <c r="Z1127" s="129">
        <f t="shared" si="92"/>
        <v>200</v>
      </c>
    </row>
    <row r="1128" spans="1:26" ht="14.1" customHeight="1">
      <c r="A1128" s="144">
        <v>1166</v>
      </c>
      <c r="B1128" s="485" t="s">
        <v>252</v>
      </c>
      <c r="C1128" s="303" t="s">
        <v>746</v>
      </c>
      <c r="D1128" s="304" t="s">
        <v>98</v>
      </c>
      <c r="E1128" s="694" t="s">
        <v>528</v>
      </c>
      <c r="F1128" s="303" t="s">
        <v>288</v>
      </c>
      <c r="G1128" s="460" t="s">
        <v>862</v>
      </c>
      <c r="H1128" s="504" t="s">
        <v>375</v>
      </c>
      <c r="I1128" s="582" t="str">
        <f>VLOOKUP(H1128,'9a-Typen vloeren'!$A$10:$B$40,2,FALSE)</f>
        <v>n.v.t.</v>
      </c>
      <c r="J1128" s="433">
        <v>141</v>
      </c>
      <c r="K1128" s="433">
        <f t="shared" si="88"/>
        <v>0</v>
      </c>
      <c r="L1128" s="433">
        <f t="shared" si="89"/>
        <v>0</v>
      </c>
      <c r="M1128" s="433">
        <f t="shared" si="90"/>
        <v>0</v>
      </c>
      <c r="N1128" s="672"/>
      <c r="O1128" s="729">
        <f>IF(N1128="",0,N1128*K1128/'9b-Vloeronderhoud'!$F$4)</f>
        <v>0</v>
      </c>
      <c r="P1128" s="672"/>
      <c r="Q1128" s="729" t="e">
        <f>IF(O1128="",0,P1128*L1128/'9b-Vloeronderhoud'!$F$6)</f>
        <v>#DIV/0!</v>
      </c>
      <c r="R1128" s="449">
        <v>1</v>
      </c>
      <c r="S1128" s="672">
        <v>120</v>
      </c>
      <c r="T1128" s="161" t="e">
        <f t="shared" si="91"/>
        <v>#DIV/0!</v>
      </c>
      <c r="U1128" s="162">
        <f>IF(S1128="nio",0,IF(S1128&gt;0,VLOOKUP(G1128,'3-Productie normen'!A:K,VLOOKUP(S1128,'3-Productie normen'!L:N,3,FALSE),FALSE)))</f>
        <v>0</v>
      </c>
      <c r="V1128" s="162">
        <f>VLOOKUP(G1128,'3-Productie normen'!A:K,10,FALSE)</f>
        <v>4374.9900215911857</v>
      </c>
      <c r="W1128" s="163">
        <f>VLOOKUP(G1128,'3-Productie normen'!A:K,11,FALSE)</f>
        <v>0</v>
      </c>
      <c r="X1128" s="163"/>
      <c r="Z1128" s="129">
        <f t="shared" si="92"/>
        <v>16920</v>
      </c>
    </row>
    <row r="1129" spans="1:26" ht="14.1" customHeight="1">
      <c r="A1129" s="144">
        <v>1167</v>
      </c>
      <c r="B1129" s="485" t="s">
        <v>252</v>
      </c>
      <c r="C1129" s="303" t="s">
        <v>746</v>
      </c>
      <c r="D1129" s="304" t="s">
        <v>98</v>
      </c>
      <c r="E1129" s="694" t="s">
        <v>509</v>
      </c>
      <c r="F1129" s="303" t="s">
        <v>559</v>
      </c>
      <c r="G1129" s="460" t="s">
        <v>881</v>
      </c>
      <c r="H1129" s="504" t="s">
        <v>375</v>
      </c>
      <c r="I1129" s="582" t="str">
        <f>VLOOKUP(H1129,'9a-Typen vloeren'!$A$10:$B$40,2,FALSE)</f>
        <v>n.v.t.</v>
      </c>
      <c r="J1129" s="433">
        <v>2</v>
      </c>
      <c r="K1129" s="433">
        <f t="shared" si="88"/>
        <v>0</v>
      </c>
      <c r="L1129" s="433">
        <f t="shared" si="89"/>
        <v>0</v>
      </c>
      <c r="M1129" s="433">
        <f t="shared" si="90"/>
        <v>0</v>
      </c>
      <c r="N1129" s="672"/>
      <c r="O1129" s="729">
        <f>IF(N1129="",0,N1129*K1129/'9b-Vloeronderhoud'!$F$4)</f>
        <v>0</v>
      </c>
      <c r="P1129" s="672"/>
      <c r="Q1129" s="729" t="e">
        <f>IF(O1129="",0,P1129*L1129/'9b-Vloeronderhoud'!$F$6)</f>
        <v>#DIV/0!</v>
      </c>
      <c r="R1129" s="449">
        <v>1</v>
      </c>
      <c r="S1129" s="672" t="s">
        <v>179</v>
      </c>
      <c r="T1129" s="161">
        <f t="shared" si="91"/>
        <v>0</v>
      </c>
      <c r="U1129" s="162">
        <f>IF(S1129="nio",0,IF(S1129&gt;0,VLOOKUP(G1129,'3-Productie normen'!A:K,VLOOKUP(S1129,'3-Productie normen'!L:N,3,FALSE),FALSE)))</f>
        <v>0</v>
      </c>
      <c r="V1129" s="162">
        <f>VLOOKUP(G1129,'3-Productie normen'!A:K,10,FALSE)</f>
        <v>5262.809993648526</v>
      </c>
      <c r="W1129" s="163">
        <f>VLOOKUP(G1129,'3-Productie normen'!A:K,11,FALSE)</f>
        <v>0</v>
      </c>
      <c r="X1129" s="163"/>
      <c r="Z1129" s="129">
        <f t="shared" si="92"/>
        <v>0</v>
      </c>
    </row>
    <row r="1130" spans="1:26" ht="14.1" customHeight="1">
      <c r="A1130" s="144">
        <v>1168</v>
      </c>
      <c r="B1130" s="485" t="s">
        <v>252</v>
      </c>
      <c r="C1130" s="303" t="s">
        <v>746</v>
      </c>
      <c r="D1130" s="304" t="s">
        <v>98</v>
      </c>
      <c r="E1130" s="694" t="s">
        <v>479</v>
      </c>
      <c r="F1130" s="303" t="s">
        <v>316</v>
      </c>
      <c r="G1130" s="460" t="s">
        <v>881</v>
      </c>
      <c r="H1130" s="504" t="s">
        <v>375</v>
      </c>
      <c r="I1130" s="582" t="str">
        <f>VLOOKUP(H1130,'9a-Typen vloeren'!$A$10:$B$40,2,FALSE)</f>
        <v>n.v.t.</v>
      </c>
      <c r="J1130" s="433">
        <v>2</v>
      </c>
      <c r="K1130" s="433">
        <f t="shared" si="88"/>
        <v>0</v>
      </c>
      <c r="L1130" s="433">
        <f t="shared" si="89"/>
        <v>0</v>
      </c>
      <c r="M1130" s="433">
        <f t="shared" si="90"/>
        <v>0</v>
      </c>
      <c r="N1130" s="672"/>
      <c r="O1130" s="729">
        <f>IF(N1130="",0,N1130*K1130/'9b-Vloeronderhoud'!$F$4)</f>
        <v>0</v>
      </c>
      <c r="P1130" s="672"/>
      <c r="Q1130" s="729" t="e">
        <f>IF(O1130="",0,P1130*L1130/'9b-Vloeronderhoud'!$F$6)</f>
        <v>#DIV/0!</v>
      </c>
      <c r="R1130" s="449">
        <v>1</v>
      </c>
      <c r="S1130" s="672" t="s">
        <v>179</v>
      </c>
      <c r="T1130" s="161">
        <f t="shared" si="91"/>
        <v>0</v>
      </c>
      <c r="U1130" s="162">
        <f>IF(S1130="nio",0,IF(S1130&gt;0,VLOOKUP(G1130,'3-Productie normen'!A:K,VLOOKUP(S1130,'3-Productie normen'!L:N,3,FALSE),FALSE)))</f>
        <v>0</v>
      </c>
      <c r="V1130" s="162">
        <f>VLOOKUP(G1130,'3-Productie normen'!A:K,10,FALSE)</f>
        <v>5262.809993648526</v>
      </c>
      <c r="W1130" s="163">
        <f>VLOOKUP(G1130,'3-Productie normen'!A:K,11,FALSE)</f>
        <v>0</v>
      </c>
      <c r="X1130" s="163"/>
      <c r="Z1130" s="129">
        <f t="shared" si="92"/>
        <v>0</v>
      </c>
    </row>
    <row r="1131" spans="1:26" ht="14.1" customHeight="1">
      <c r="A1131" s="144">
        <v>1169</v>
      </c>
      <c r="B1131" s="485" t="s">
        <v>252</v>
      </c>
      <c r="C1131" s="303" t="s">
        <v>746</v>
      </c>
      <c r="D1131" s="304" t="s">
        <v>98</v>
      </c>
      <c r="E1131" s="694" t="s">
        <v>482</v>
      </c>
      <c r="F1131" s="303" t="s">
        <v>582</v>
      </c>
      <c r="G1131" s="122" t="s">
        <v>189</v>
      </c>
      <c r="H1131" s="504" t="s">
        <v>375</v>
      </c>
      <c r="I1131" s="582" t="str">
        <f>VLOOKUP(H1131,'9a-Typen vloeren'!$A$10:$B$40,2,FALSE)</f>
        <v>n.v.t.</v>
      </c>
      <c r="J1131" s="433">
        <v>7.7</v>
      </c>
      <c r="K1131" s="433">
        <f t="shared" si="88"/>
        <v>0</v>
      </c>
      <c r="L1131" s="433">
        <f t="shared" si="89"/>
        <v>0</v>
      </c>
      <c r="M1131" s="433">
        <f t="shared" si="90"/>
        <v>0</v>
      </c>
      <c r="N1131" s="672"/>
      <c r="O1131" s="729">
        <f>IF(N1131="",0,N1131*K1131/'9b-Vloeronderhoud'!$F$4)</f>
        <v>0</v>
      </c>
      <c r="P1131" s="672"/>
      <c r="Q1131" s="729" t="e">
        <f>IF(O1131="",0,P1131*L1131/'9b-Vloeronderhoud'!$F$6)</f>
        <v>#DIV/0!</v>
      </c>
      <c r="R1131" s="449">
        <v>1</v>
      </c>
      <c r="S1131" s="672">
        <v>40</v>
      </c>
      <c r="T1131" s="161" t="e">
        <f t="shared" si="91"/>
        <v>#DIV/0!</v>
      </c>
      <c r="U1131" s="162">
        <f>IF(S1131="nio",0,IF(S1131&gt;0,VLOOKUP(G1131,'3-Productie normen'!A:K,VLOOKUP(S1131,'3-Productie normen'!L:N,3,FALSE),FALSE)))</f>
        <v>0</v>
      </c>
      <c r="V1131" s="162">
        <f>VLOOKUP(G1131,'3-Productie normen'!A:K,10,FALSE)</f>
        <v>1494.1700078582762</v>
      </c>
      <c r="W1131" s="163">
        <f>VLOOKUP(G1131,'3-Productie normen'!A:K,11,FALSE)</f>
        <v>0</v>
      </c>
      <c r="X1131" s="163"/>
      <c r="Z1131" s="129">
        <f t="shared" si="92"/>
        <v>308</v>
      </c>
    </row>
    <row r="1132" spans="1:26" ht="14.1" customHeight="1">
      <c r="A1132" s="144">
        <v>1170</v>
      </c>
      <c r="B1132" s="485" t="s">
        <v>252</v>
      </c>
      <c r="C1132" s="303" t="s">
        <v>746</v>
      </c>
      <c r="D1132" s="304" t="s">
        <v>98</v>
      </c>
      <c r="E1132" s="694" t="s">
        <v>540</v>
      </c>
      <c r="F1132" s="303" t="s">
        <v>582</v>
      </c>
      <c r="G1132" s="122" t="s">
        <v>189</v>
      </c>
      <c r="H1132" s="504" t="s">
        <v>375</v>
      </c>
      <c r="I1132" s="582" t="str">
        <f>VLOOKUP(H1132,'9a-Typen vloeren'!$A$10:$B$40,2,FALSE)</f>
        <v>n.v.t.</v>
      </c>
      <c r="J1132" s="433">
        <v>25</v>
      </c>
      <c r="K1132" s="433">
        <f t="shared" si="88"/>
        <v>0</v>
      </c>
      <c r="L1132" s="433">
        <f t="shared" si="89"/>
        <v>0</v>
      </c>
      <c r="M1132" s="433">
        <f t="shared" si="90"/>
        <v>0</v>
      </c>
      <c r="N1132" s="672"/>
      <c r="O1132" s="729">
        <f>IF(N1132="",0,N1132*K1132/'9b-Vloeronderhoud'!$F$4)</f>
        <v>0</v>
      </c>
      <c r="P1132" s="672"/>
      <c r="Q1132" s="729" t="e">
        <f>IF(O1132="",0,P1132*L1132/'9b-Vloeronderhoud'!$F$6)</f>
        <v>#DIV/0!</v>
      </c>
      <c r="R1132" s="449">
        <v>1</v>
      </c>
      <c r="S1132" s="672">
        <v>40</v>
      </c>
      <c r="T1132" s="161" t="e">
        <f t="shared" si="91"/>
        <v>#DIV/0!</v>
      </c>
      <c r="U1132" s="162">
        <f>IF(S1132="nio",0,IF(S1132&gt;0,VLOOKUP(G1132,'3-Productie normen'!A:K,VLOOKUP(S1132,'3-Productie normen'!L:N,3,FALSE),FALSE)))</f>
        <v>0</v>
      </c>
      <c r="V1132" s="162">
        <f>VLOOKUP(G1132,'3-Productie normen'!A:K,10,FALSE)</f>
        <v>1494.1700078582762</v>
      </c>
      <c r="W1132" s="163">
        <f>VLOOKUP(G1132,'3-Productie normen'!A:K,11,FALSE)</f>
        <v>0</v>
      </c>
      <c r="X1132" s="163"/>
      <c r="Z1132" s="129">
        <f t="shared" si="92"/>
        <v>1000</v>
      </c>
    </row>
    <row r="1133" spans="1:26" ht="14.1" customHeight="1">
      <c r="A1133" s="144">
        <v>1171</v>
      </c>
      <c r="B1133" s="485" t="s">
        <v>252</v>
      </c>
      <c r="C1133" s="303" t="s">
        <v>746</v>
      </c>
      <c r="D1133" s="304" t="s">
        <v>98</v>
      </c>
      <c r="E1133" s="694" t="s">
        <v>541</v>
      </c>
      <c r="F1133" s="303" t="s">
        <v>470</v>
      </c>
      <c r="G1133" s="122" t="s">
        <v>221</v>
      </c>
      <c r="H1133" s="504" t="s">
        <v>375</v>
      </c>
      <c r="I1133" s="582" t="str">
        <f>VLOOKUP(H1133,'9a-Typen vloeren'!$A$10:$B$40,2,FALSE)</f>
        <v>n.v.t.</v>
      </c>
      <c r="J1133" s="433">
        <v>59.1</v>
      </c>
      <c r="K1133" s="433">
        <f t="shared" si="88"/>
        <v>0</v>
      </c>
      <c r="L1133" s="433">
        <f t="shared" si="89"/>
        <v>0</v>
      </c>
      <c r="M1133" s="433">
        <f t="shared" si="90"/>
        <v>0</v>
      </c>
      <c r="N1133" s="672"/>
      <c r="O1133" s="729">
        <f>IF(N1133="",0,N1133*K1133/'9b-Vloeronderhoud'!$F$4)</f>
        <v>0</v>
      </c>
      <c r="P1133" s="672"/>
      <c r="Q1133" s="729" t="e">
        <f>IF(O1133="",0,P1133*L1133/'9b-Vloeronderhoud'!$F$6)</f>
        <v>#DIV/0!</v>
      </c>
      <c r="R1133" s="449">
        <v>1</v>
      </c>
      <c r="S1133" s="672">
        <v>80</v>
      </c>
      <c r="T1133" s="161" t="e">
        <f t="shared" si="91"/>
        <v>#DIV/0!</v>
      </c>
      <c r="U1133" s="162">
        <f>IF(S1133="nio",0,IF(S1133&gt;0,VLOOKUP(G1133,'3-Productie normen'!A:K,VLOOKUP(S1133,'3-Productie normen'!L:N,3,FALSE),FALSE)))</f>
        <v>0</v>
      </c>
      <c r="V1133" s="162">
        <f>VLOOKUP(G1133,'3-Productie normen'!A:K,10,FALSE)</f>
        <v>16013.110036668773</v>
      </c>
      <c r="W1133" s="163">
        <f>VLOOKUP(G1133,'3-Productie normen'!A:K,11,FALSE)</f>
        <v>0</v>
      </c>
      <c r="X1133" s="163"/>
      <c r="Z1133" s="129">
        <f t="shared" si="92"/>
        <v>4728</v>
      </c>
    </row>
    <row r="1134" spans="1:26" ht="14.1" customHeight="1">
      <c r="A1134" s="144">
        <v>1172</v>
      </c>
      <c r="B1134" s="485" t="s">
        <v>252</v>
      </c>
      <c r="C1134" s="303" t="s">
        <v>746</v>
      </c>
      <c r="D1134" s="304" t="s">
        <v>98</v>
      </c>
      <c r="E1134" s="694" t="s">
        <v>473</v>
      </c>
      <c r="F1134" s="303" t="s">
        <v>444</v>
      </c>
      <c r="G1134" s="122" t="s">
        <v>189</v>
      </c>
      <c r="H1134" s="504" t="s">
        <v>375</v>
      </c>
      <c r="I1134" s="582" t="str">
        <f>VLOOKUP(H1134,'9a-Typen vloeren'!$A$10:$B$40,2,FALSE)</f>
        <v>n.v.t.</v>
      </c>
      <c r="J1134" s="433">
        <v>13.5</v>
      </c>
      <c r="K1134" s="433">
        <f t="shared" si="88"/>
        <v>0</v>
      </c>
      <c r="L1134" s="433">
        <f t="shared" si="89"/>
        <v>0</v>
      </c>
      <c r="M1134" s="433">
        <f t="shared" si="90"/>
        <v>0</v>
      </c>
      <c r="N1134" s="672"/>
      <c r="O1134" s="729">
        <f>IF(N1134="",0,N1134*K1134/'9b-Vloeronderhoud'!$F$4)</f>
        <v>0</v>
      </c>
      <c r="P1134" s="672"/>
      <c r="Q1134" s="729" t="e">
        <f>IF(O1134="",0,P1134*L1134/'9b-Vloeronderhoud'!$F$6)</f>
        <v>#DIV/0!</v>
      </c>
      <c r="R1134" s="449">
        <v>1</v>
      </c>
      <c r="S1134" s="672">
        <v>40</v>
      </c>
      <c r="T1134" s="161" t="e">
        <f t="shared" si="91"/>
        <v>#DIV/0!</v>
      </c>
      <c r="U1134" s="162">
        <f>IF(S1134="nio",0,IF(S1134&gt;0,VLOOKUP(G1134,'3-Productie normen'!A:K,VLOOKUP(S1134,'3-Productie normen'!L:N,3,FALSE),FALSE)))</f>
        <v>0</v>
      </c>
      <c r="V1134" s="162">
        <f>VLOOKUP(G1134,'3-Productie normen'!A:K,10,FALSE)</f>
        <v>1494.1700078582762</v>
      </c>
      <c r="W1134" s="163">
        <f>VLOOKUP(G1134,'3-Productie normen'!A:K,11,FALSE)</f>
        <v>0</v>
      </c>
      <c r="X1134" s="163"/>
      <c r="Z1134" s="129">
        <f t="shared" si="92"/>
        <v>540</v>
      </c>
    </row>
    <row r="1135" spans="1:26" ht="14.1" customHeight="1">
      <c r="A1135" s="144">
        <v>1173</v>
      </c>
      <c r="B1135" s="485" t="s">
        <v>252</v>
      </c>
      <c r="C1135" s="303" t="s">
        <v>746</v>
      </c>
      <c r="D1135" s="304" t="s">
        <v>98</v>
      </c>
      <c r="E1135" s="694" t="s">
        <v>476</v>
      </c>
      <c r="F1135" s="303" t="s">
        <v>382</v>
      </c>
      <c r="G1135" s="460" t="s">
        <v>881</v>
      </c>
      <c r="H1135" s="504" t="s">
        <v>375</v>
      </c>
      <c r="I1135" s="582" t="str">
        <f>VLOOKUP(H1135,'9a-Typen vloeren'!$A$10:$B$40,2,FALSE)</f>
        <v>n.v.t.</v>
      </c>
      <c r="J1135" s="433">
        <v>13</v>
      </c>
      <c r="K1135" s="433">
        <f t="shared" si="88"/>
        <v>0</v>
      </c>
      <c r="L1135" s="433">
        <f t="shared" si="89"/>
        <v>0</v>
      </c>
      <c r="M1135" s="433">
        <f t="shared" si="90"/>
        <v>0</v>
      </c>
      <c r="N1135" s="672"/>
      <c r="O1135" s="729">
        <f>IF(N1135="",0,N1135*K1135/'9b-Vloeronderhoud'!$F$4)</f>
        <v>0</v>
      </c>
      <c r="P1135" s="672"/>
      <c r="Q1135" s="729" t="e">
        <f>IF(O1135="",0,P1135*L1135/'9b-Vloeronderhoud'!$F$6)</f>
        <v>#DIV/0!</v>
      </c>
      <c r="R1135" s="449">
        <v>1</v>
      </c>
      <c r="S1135" s="672" t="s">
        <v>179</v>
      </c>
      <c r="T1135" s="161">
        <f t="shared" si="91"/>
        <v>0</v>
      </c>
      <c r="U1135" s="162">
        <f>IF(S1135="nio",0,IF(S1135&gt;0,VLOOKUP(G1135,'3-Productie normen'!A:K,VLOOKUP(S1135,'3-Productie normen'!L:N,3,FALSE),FALSE)))</f>
        <v>0</v>
      </c>
      <c r="V1135" s="162">
        <f>VLOOKUP(G1135,'3-Productie normen'!A:K,10,FALSE)</f>
        <v>5262.809993648526</v>
      </c>
      <c r="W1135" s="163">
        <f>VLOOKUP(G1135,'3-Productie normen'!A:K,11,FALSE)</f>
        <v>0</v>
      </c>
      <c r="X1135" s="163"/>
      <c r="Z1135" s="129">
        <f t="shared" si="92"/>
        <v>0</v>
      </c>
    </row>
    <row r="1136" spans="1:26" ht="14.1" customHeight="1">
      <c r="A1136" s="144">
        <v>1174</v>
      </c>
      <c r="B1136" s="485" t="s">
        <v>252</v>
      </c>
      <c r="C1136" s="303" t="s">
        <v>746</v>
      </c>
      <c r="D1136" s="304" t="s">
        <v>98</v>
      </c>
      <c r="E1136" s="694" t="s">
        <v>477</v>
      </c>
      <c r="F1136" s="303" t="s">
        <v>267</v>
      </c>
      <c r="G1136" s="460" t="s">
        <v>18</v>
      </c>
      <c r="H1136" s="504" t="s">
        <v>375</v>
      </c>
      <c r="I1136" s="582" t="str">
        <f>VLOOKUP(H1136,'9a-Typen vloeren'!$A$10:$B$40,2,FALSE)</f>
        <v>n.v.t.</v>
      </c>
      <c r="J1136" s="433">
        <v>3.3</v>
      </c>
      <c r="K1136" s="433">
        <f t="shared" si="88"/>
        <v>0</v>
      </c>
      <c r="L1136" s="433">
        <f t="shared" si="89"/>
        <v>0</v>
      </c>
      <c r="M1136" s="433">
        <f t="shared" si="90"/>
        <v>0</v>
      </c>
      <c r="N1136" s="672"/>
      <c r="O1136" s="729">
        <f>IF(N1136="",0,N1136*K1136/'9b-Vloeronderhoud'!$F$4)</f>
        <v>0</v>
      </c>
      <c r="P1136" s="672"/>
      <c r="Q1136" s="729" t="e">
        <f>IF(O1136="",0,P1136*L1136/'9b-Vloeronderhoud'!$F$6)</f>
        <v>#DIV/0!</v>
      </c>
      <c r="R1136" s="449">
        <v>1</v>
      </c>
      <c r="S1136" s="672">
        <v>190</v>
      </c>
      <c r="T1136" s="161" t="e">
        <f t="shared" si="91"/>
        <v>#DIV/0!</v>
      </c>
      <c r="U1136" s="162">
        <f>IF(S1136="nio",0,IF(S1136&gt;0,VLOOKUP(G1136,'3-Productie normen'!A:K,VLOOKUP(S1136,'3-Productie normen'!L:N,3,FALSE),FALSE)))</f>
        <v>0</v>
      </c>
      <c r="V1136" s="162">
        <f>VLOOKUP(G1136,'3-Productie normen'!A:K,10,FALSE)</f>
        <v>1859.5880019121171</v>
      </c>
      <c r="W1136" s="163">
        <f>VLOOKUP(G1136,'3-Productie normen'!A:K,11,FALSE)</f>
        <v>0</v>
      </c>
      <c r="X1136" s="163"/>
      <c r="Z1136" s="129">
        <f t="shared" si="92"/>
        <v>627</v>
      </c>
    </row>
    <row r="1137" spans="1:26" ht="14.1" customHeight="1">
      <c r="A1137" s="144">
        <v>1175</v>
      </c>
      <c r="B1137" s="485" t="s">
        <v>252</v>
      </c>
      <c r="C1137" s="303" t="s">
        <v>746</v>
      </c>
      <c r="D1137" s="304" t="s">
        <v>98</v>
      </c>
      <c r="E1137" s="694" t="s">
        <v>478</v>
      </c>
      <c r="F1137" s="303" t="s">
        <v>267</v>
      </c>
      <c r="G1137" s="533" t="s">
        <v>18</v>
      </c>
      <c r="H1137" s="504" t="s">
        <v>375</v>
      </c>
      <c r="I1137" s="582" t="str">
        <f>VLOOKUP(H1137,'9a-Typen vloeren'!$A$10:$B$40,2,FALSE)</f>
        <v>n.v.t.</v>
      </c>
      <c r="J1137" s="433">
        <v>3.4</v>
      </c>
      <c r="K1137" s="433">
        <f t="shared" si="88"/>
        <v>0</v>
      </c>
      <c r="L1137" s="433">
        <f t="shared" si="89"/>
        <v>0</v>
      </c>
      <c r="M1137" s="433">
        <f t="shared" si="90"/>
        <v>0</v>
      </c>
      <c r="N1137" s="672"/>
      <c r="O1137" s="729">
        <f>IF(N1137="",0,N1137*K1137/'9b-Vloeronderhoud'!$F$4)</f>
        <v>0</v>
      </c>
      <c r="P1137" s="672"/>
      <c r="Q1137" s="729" t="e">
        <f>IF(O1137="",0,P1137*L1137/'9b-Vloeronderhoud'!$F$6)</f>
        <v>#DIV/0!</v>
      </c>
      <c r="R1137" s="449">
        <v>1</v>
      </c>
      <c r="S1137" s="672">
        <v>190</v>
      </c>
      <c r="T1137" s="161" t="e">
        <f t="shared" si="91"/>
        <v>#DIV/0!</v>
      </c>
      <c r="U1137" s="162">
        <f>IF(S1137="nio",0,IF(S1137&gt;0,VLOOKUP(G1137,'3-Productie normen'!A:K,VLOOKUP(S1137,'3-Productie normen'!L:N,3,FALSE),FALSE)))</f>
        <v>0</v>
      </c>
      <c r="V1137" s="162">
        <f>VLOOKUP(G1137,'3-Productie normen'!A:K,10,FALSE)</f>
        <v>1859.5880019121171</v>
      </c>
      <c r="W1137" s="163">
        <f>VLOOKUP(G1137,'3-Productie normen'!A:K,11,FALSE)</f>
        <v>0</v>
      </c>
      <c r="X1137" s="163"/>
      <c r="Z1137" s="129">
        <f t="shared" si="92"/>
        <v>646</v>
      </c>
    </row>
    <row r="1138" spans="1:26" ht="14.1" customHeight="1">
      <c r="A1138" s="144">
        <v>1176</v>
      </c>
      <c r="B1138" s="485" t="s">
        <v>252</v>
      </c>
      <c r="C1138" s="303" t="s">
        <v>746</v>
      </c>
      <c r="D1138" s="304" t="s">
        <v>98</v>
      </c>
      <c r="E1138" s="694" t="s">
        <v>530</v>
      </c>
      <c r="F1138" s="303" t="s">
        <v>404</v>
      </c>
      <c r="G1138" s="303" t="s">
        <v>286</v>
      </c>
      <c r="H1138" s="504" t="s">
        <v>375</v>
      </c>
      <c r="I1138" s="582" t="str">
        <f>VLOOKUP(H1138,'9a-Typen vloeren'!$A$10:$B$40,2,FALSE)</f>
        <v>n.v.t.</v>
      </c>
      <c r="J1138" s="433">
        <v>9.1</v>
      </c>
      <c r="K1138" s="433">
        <f t="shared" si="88"/>
        <v>0</v>
      </c>
      <c r="L1138" s="433">
        <f t="shared" si="89"/>
        <v>0</v>
      </c>
      <c r="M1138" s="433">
        <f t="shared" si="90"/>
        <v>0</v>
      </c>
      <c r="N1138" s="672"/>
      <c r="O1138" s="729">
        <f>IF(N1138="",0,N1138*K1138/'9b-Vloeronderhoud'!$F$4)</f>
        <v>0</v>
      </c>
      <c r="P1138" s="672"/>
      <c r="Q1138" s="729" t="e">
        <f>IF(O1138="",0,P1138*L1138/'9b-Vloeronderhoud'!$F$6)</f>
        <v>#DIV/0!</v>
      </c>
      <c r="R1138" s="449">
        <v>1</v>
      </c>
      <c r="S1138" s="672">
        <v>120</v>
      </c>
      <c r="T1138" s="161" t="e">
        <f t="shared" si="91"/>
        <v>#DIV/0!</v>
      </c>
      <c r="U1138" s="162">
        <f>IF(S1138="nio",0,IF(S1138&gt;0,VLOOKUP(G1138,'3-Productie normen'!A:K,VLOOKUP(S1138,'3-Productie normen'!L:N,3,FALSE),FALSE)))</f>
        <v>0</v>
      </c>
      <c r="V1138" s="162">
        <f>VLOOKUP(G1138,'3-Productie normen'!A:K,10,FALSE)</f>
        <v>6152.9500017547598</v>
      </c>
      <c r="W1138" s="163">
        <f>VLOOKUP(G1138,'3-Productie normen'!A:K,11,FALSE)</f>
        <v>0</v>
      </c>
      <c r="X1138" s="163"/>
      <c r="Z1138" s="129">
        <f t="shared" si="92"/>
        <v>1092</v>
      </c>
    </row>
    <row r="1139" spans="1:26" ht="14.1" customHeight="1">
      <c r="A1139" s="144">
        <v>1177</v>
      </c>
      <c r="B1139" s="485" t="s">
        <v>252</v>
      </c>
      <c r="C1139" s="303" t="s">
        <v>746</v>
      </c>
      <c r="D1139" s="304" t="s">
        <v>98</v>
      </c>
      <c r="E1139" s="694" t="s">
        <v>531</v>
      </c>
      <c r="F1139" s="303" t="s">
        <v>267</v>
      </c>
      <c r="G1139" s="122" t="s">
        <v>18</v>
      </c>
      <c r="H1139" s="504" t="s">
        <v>375</v>
      </c>
      <c r="I1139" s="582" t="str">
        <f>VLOOKUP(H1139,'9a-Typen vloeren'!$A$10:$B$40,2,FALSE)</f>
        <v>n.v.t.</v>
      </c>
      <c r="J1139" s="433">
        <v>3.3</v>
      </c>
      <c r="K1139" s="433">
        <f t="shared" si="88"/>
        <v>0</v>
      </c>
      <c r="L1139" s="433">
        <f t="shared" si="89"/>
        <v>0</v>
      </c>
      <c r="M1139" s="433">
        <f t="shared" si="90"/>
        <v>0</v>
      </c>
      <c r="N1139" s="672"/>
      <c r="O1139" s="729">
        <f>IF(N1139="",0,N1139*K1139/'9b-Vloeronderhoud'!$F$4)</f>
        <v>0</v>
      </c>
      <c r="P1139" s="672"/>
      <c r="Q1139" s="729" t="e">
        <f>IF(O1139="",0,P1139*L1139/'9b-Vloeronderhoud'!$F$6)</f>
        <v>#DIV/0!</v>
      </c>
      <c r="R1139" s="449">
        <v>1</v>
      </c>
      <c r="S1139" s="672">
        <v>190</v>
      </c>
      <c r="T1139" s="161" t="e">
        <f t="shared" si="91"/>
        <v>#DIV/0!</v>
      </c>
      <c r="U1139" s="162">
        <f>IF(S1139="nio",0,IF(S1139&gt;0,VLOOKUP(G1139,'3-Productie normen'!A:K,VLOOKUP(S1139,'3-Productie normen'!L:N,3,FALSE),FALSE)))</f>
        <v>0</v>
      </c>
      <c r="V1139" s="162">
        <f>VLOOKUP(G1139,'3-Productie normen'!A:K,10,FALSE)</f>
        <v>1859.5880019121171</v>
      </c>
      <c r="W1139" s="163">
        <f>VLOOKUP(G1139,'3-Productie normen'!A:K,11,FALSE)</f>
        <v>0</v>
      </c>
      <c r="X1139" s="163"/>
      <c r="Z1139" s="129">
        <f t="shared" si="92"/>
        <v>627</v>
      </c>
    </row>
    <row r="1140" spans="1:26" ht="14.1" customHeight="1">
      <c r="A1140" s="144">
        <v>1178</v>
      </c>
      <c r="B1140" s="485" t="s">
        <v>252</v>
      </c>
      <c r="C1140" s="303" t="s">
        <v>746</v>
      </c>
      <c r="D1140" s="304" t="s">
        <v>98</v>
      </c>
      <c r="E1140" s="694" t="s">
        <v>532</v>
      </c>
      <c r="F1140" s="303" t="s">
        <v>267</v>
      </c>
      <c r="G1140" s="460" t="s">
        <v>18</v>
      </c>
      <c r="H1140" s="504" t="s">
        <v>375</v>
      </c>
      <c r="I1140" s="582" t="str">
        <f>VLOOKUP(H1140,'9a-Typen vloeren'!$A$10:$B$40,2,FALSE)</f>
        <v>n.v.t.</v>
      </c>
      <c r="J1140" s="433">
        <v>3.3</v>
      </c>
      <c r="K1140" s="433">
        <f t="shared" si="88"/>
        <v>0</v>
      </c>
      <c r="L1140" s="433">
        <f t="shared" si="89"/>
        <v>0</v>
      </c>
      <c r="M1140" s="433">
        <f t="shared" si="90"/>
        <v>0</v>
      </c>
      <c r="N1140" s="672"/>
      <c r="O1140" s="729">
        <f>IF(N1140="",0,N1140*K1140/'9b-Vloeronderhoud'!$F$4)</f>
        <v>0</v>
      </c>
      <c r="P1140" s="672"/>
      <c r="Q1140" s="729" t="e">
        <f>IF(O1140="",0,P1140*L1140/'9b-Vloeronderhoud'!$F$6)</f>
        <v>#DIV/0!</v>
      </c>
      <c r="R1140" s="449">
        <v>1</v>
      </c>
      <c r="S1140" s="672">
        <v>190</v>
      </c>
      <c r="T1140" s="161" t="e">
        <f t="shared" si="91"/>
        <v>#DIV/0!</v>
      </c>
      <c r="U1140" s="162">
        <f>IF(S1140="nio",0,IF(S1140&gt;0,VLOOKUP(G1140,'3-Productie normen'!A:K,VLOOKUP(S1140,'3-Productie normen'!L:N,3,FALSE),FALSE)))</f>
        <v>0</v>
      </c>
      <c r="V1140" s="162">
        <f>VLOOKUP(G1140,'3-Productie normen'!A:K,10,FALSE)</f>
        <v>1859.5880019121171</v>
      </c>
      <c r="W1140" s="163">
        <f>VLOOKUP(G1140,'3-Productie normen'!A:K,11,FALSE)</f>
        <v>0</v>
      </c>
      <c r="X1140" s="163"/>
      <c r="Z1140" s="129">
        <f t="shared" si="92"/>
        <v>627</v>
      </c>
    </row>
    <row r="1141" spans="1:26" ht="14.1" customHeight="1">
      <c r="A1141" s="144">
        <v>1179</v>
      </c>
      <c r="B1141" s="485" t="s">
        <v>252</v>
      </c>
      <c r="C1141" s="303" t="s">
        <v>746</v>
      </c>
      <c r="D1141" s="304" t="s">
        <v>98</v>
      </c>
      <c r="E1141" s="694" t="s">
        <v>533</v>
      </c>
      <c r="F1141" s="303" t="s">
        <v>382</v>
      </c>
      <c r="G1141" s="460" t="s">
        <v>881</v>
      </c>
      <c r="H1141" s="504" t="s">
        <v>375</v>
      </c>
      <c r="I1141" s="582" t="str">
        <f>VLOOKUP(H1141,'9a-Typen vloeren'!$A$10:$B$40,2,FALSE)</f>
        <v>n.v.t.</v>
      </c>
      <c r="J1141" s="433">
        <v>10.4</v>
      </c>
      <c r="K1141" s="433">
        <f t="shared" si="88"/>
        <v>0</v>
      </c>
      <c r="L1141" s="433">
        <f t="shared" si="89"/>
        <v>0</v>
      </c>
      <c r="M1141" s="433">
        <f t="shared" si="90"/>
        <v>0</v>
      </c>
      <c r="N1141" s="672"/>
      <c r="O1141" s="729">
        <f>IF(N1141="",0,N1141*K1141/'9b-Vloeronderhoud'!$F$4)</f>
        <v>0</v>
      </c>
      <c r="P1141" s="672"/>
      <c r="Q1141" s="729" t="e">
        <f>IF(O1141="",0,P1141*L1141/'9b-Vloeronderhoud'!$F$6)</f>
        <v>#DIV/0!</v>
      </c>
      <c r="R1141" s="449">
        <v>1</v>
      </c>
      <c r="S1141" s="672" t="s">
        <v>179</v>
      </c>
      <c r="T1141" s="161">
        <f t="shared" si="91"/>
        <v>0</v>
      </c>
      <c r="U1141" s="162">
        <f>IF(S1141="nio",0,IF(S1141&gt;0,VLOOKUP(G1141,'3-Productie normen'!A:K,VLOOKUP(S1141,'3-Productie normen'!L:N,3,FALSE),FALSE)))</f>
        <v>0</v>
      </c>
      <c r="V1141" s="162">
        <f>VLOOKUP(G1141,'3-Productie normen'!A:K,10,FALSE)</f>
        <v>5262.809993648526</v>
      </c>
      <c r="W1141" s="163">
        <f>VLOOKUP(G1141,'3-Productie normen'!A:K,11,FALSE)</f>
        <v>0</v>
      </c>
      <c r="X1141" s="163"/>
      <c r="Z1141" s="129">
        <f t="shared" si="92"/>
        <v>0</v>
      </c>
    </row>
    <row r="1142" spans="1:26" ht="14.1" customHeight="1">
      <c r="A1142" s="144">
        <v>1180</v>
      </c>
      <c r="B1142" s="485" t="s">
        <v>252</v>
      </c>
      <c r="C1142" s="303" t="s">
        <v>746</v>
      </c>
      <c r="D1142" s="304" t="s">
        <v>98</v>
      </c>
      <c r="E1142" s="694" t="s">
        <v>534</v>
      </c>
      <c r="F1142" s="303" t="s">
        <v>759</v>
      </c>
      <c r="G1142" s="122" t="s">
        <v>862</v>
      </c>
      <c r="H1142" s="504" t="s">
        <v>375</v>
      </c>
      <c r="I1142" s="582" t="str">
        <f>VLOOKUP(H1142,'9a-Typen vloeren'!$A$10:$B$40,2,FALSE)</f>
        <v>n.v.t.</v>
      </c>
      <c r="J1142" s="433">
        <v>116.2</v>
      </c>
      <c r="K1142" s="433">
        <f t="shared" si="88"/>
        <v>0</v>
      </c>
      <c r="L1142" s="433">
        <f t="shared" si="89"/>
        <v>0</v>
      </c>
      <c r="M1142" s="433">
        <f t="shared" si="90"/>
        <v>0</v>
      </c>
      <c r="N1142" s="672"/>
      <c r="O1142" s="729">
        <f>IF(N1142="",0,N1142*K1142/'9b-Vloeronderhoud'!$F$4)</f>
        <v>0</v>
      </c>
      <c r="P1142" s="672"/>
      <c r="Q1142" s="729" t="e">
        <f>IF(O1142="",0,P1142*L1142/'9b-Vloeronderhoud'!$F$6)</f>
        <v>#DIV/0!</v>
      </c>
      <c r="R1142" s="449">
        <v>1</v>
      </c>
      <c r="S1142" s="672">
        <v>120</v>
      </c>
      <c r="T1142" s="161" t="e">
        <f t="shared" si="91"/>
        <v>#DIV/0!</v>
      </c>
      <c r="U1142" s="162">
        <f>IF(S1142="nio",0,IF(S1142&gt;0,VLOOKUP(G1142,'3-Productie normen'!A:K,VLOOKUP(S1142,'3-Productie normen'!L:N,3,FALSE),FALSE)))</f>
        <v>0</v>
      </c>
      <c r="V1142" s="162">
        <f>VLOOKUP(G1142,'3-Productie normen'!A:K,10,FALSE)</f>
        <v>4374.9900215911857</v>
      </c>
      <c r="W1142" s="163">
        <f>VLOOKUP(G1142,'3-Productie normen'!A:K,11,FALSE)</f>
        <v>0</v>
      </c>
      <c r="X1142" s="163"/>
      <c r="Z1142" s="129">
        <f t="shared" si="92"/>
        <v>13944</v>
      </c>
    </row>
    <row r="1143" spans="1:26" ht="14.1" customHeight="1">
      <c r="A1143" s="144">
        <v>1181</v>
      </c>
      <c r="B1143" s="485" t="s">
        <v>252</v>
      </c>
      <c r="C1143" s="303" t="s">
        <v>746</v>
      </c>
      <c r="D1143" s="304" t="s">
        <v>98</v>
      </c>
      <c r="E1143" s="694" t="s">
        <v>500</v>
      </c>
      <c r="F1143" s="303" t="s">
        <v>470</v>
      </c>
      <c r="G1143" s="122" t="s">
        <v>221</v>
      </c>
      <c r="H1143" s="504" t="s">
        <v>375</v>
      </c>
      <c r="I1143" s="582" t="str">
        <f>VLOOKUP(H1143,'9a-Typen vloeren'!$A$10:$B$40,2,FALSE)</f>
        <v>n.v.t.</v>
      </c>
      <c r="J1143" s="433">
        <v>53.6</v>
      </c>
      <c r="K1143" s="433">
        <f t="shared" ref="K1143:K1206" si="93">IF(G1143="niet in onderhoud",0,IF(I1143="sprayen/ conserveren",J1143,0))</f>
        <v>0</v>
      </c>
      <c r="L1143" s="433">
        <f t="shared" ref="L1143:L1206" si="94">IF(G1143="niet in onderhoud",0,IF(I1143="schrobben",J1143,0))</f>
        <v>0</v>
      </c>
      <c r="M1143" s="433">
        <f t="shared" ref="M1143:M1206" si="95">IF(G1143="niet in onderhoud",0,IF(I1143="Sproei/extraheren",J1143,0))</f>
        <v>0</v>
      </c>
      <c r="N1143" s="672"/>
      <c r="O1143" s="729">
        <f>IF(N1143="",0,N1143*K1143/'9b-Vloeronderhoud'!$F$4)</f>
        <v>0</v>
      </c>
      <c r="P1143" s="672"/>
      <c r="Q1143" s="729" t="e">
        <f>IF(O1143="",0,P1143*L1143/'9b-Vloeronderhoud'!$F$6)</f>
        <v>#DIV/0!</v>
      </c>
      <c r="R1143" s="449">
        <v>1</v>
      </c>
      <c r="S1143" s="672">
        <v>80</v>
      </c>
      <c r="T1143" s="161" t="e">
        <f t="shared" si="91"/>
        <v>#DIV/0!</v>
      </c>
      <c r="U1143" s="162">
        <f>IF(S1143="nio",0,IF(S1143&gt;0,VLOOKUP(G1143,'3-Productie normen'!A:K,VLOOKUP(S1143,'3-Productie normen'!L:N,3,FALSE),FALSE)))</f>
        <v>0</v>
      </c>
      <c r="V1143" s="162">
        <f>VLOOKUP(G1143,'3-Productie normen'!A:K,10,FALSE)</f>
        <v>16013.110036668773</v>
      </c>
      <c r="W1143" s="163">
        <f>VLOOKUP(G1143,'3-Productie normen'!A:K,11,FALSE)</f>
        <v>0</v>
      </c>
      <c r="X1143" s="163"/>
      <c r="Z1143" s="129">
        <f t="shared" si="92"/>
        <v>4288</v>
      </c>
    </row>
    <row r="1144" spans="1:26" ht="14.1" customHeight="1">
      <c r="A1144" s="144">
        <v>1182</v>
      </c>
      <c r="B1144" s="485" t="s">
        <v>252</v>
      </c>
      <c r="C1144" s="303" t="s">
        <v>746</v>
      </c>
      <c r="D1144" s="304" t="s">
        <v>98</v>
      </c>
      <c r="E1144" s="694" t="s">
        <v>498</v>
      </c>
      <c r="F1144" s="303" t="s">
        <v>470</v>
      </c>
      <c r="G1144" s="122" t="s">
        <v>221</v>
      </c>
      <c r="H1144" s="504" t="s">
        <v>375</v>
      </c>
      <c r="I1144" s="582" t="str">
        <f>VLOOKUP(H1144,'9a-Typen vloeren'!$A$10:$B$40,2,FALSE)</f>
        <v>n.v.t.</v>
      </c>
      <c r="J1144" s="433">
        <v>53.6</v>
      </c>
      <c r="K1144" s="433">
        <f t="shared" si="93"/>
        <v>0</v>
      </c>
      <c r="L1144" s="433">
        <f t="shared" si="94"/>
        <v>0</v>
      </c>
      <c r="M1144" s="433">
        <f t="shared" si="95"/>
        <v>0</v>
      </c>
      <c r="N1144" s="672"/>
      <c r="O1144" s="729">
        <f>IF(N1144="",0,N1144*K1144/'9b-Vloeronderhoud'!$F$4)</f>
        <v>0</v>
      </c>
      <c r="P1144" s="672"/>
      <c r="Q1144" s="729" t="e">
        <f>IF(O1144="",0,P1144*L1144/'9b-Vloeronderhoud'!$F$6)</f>
        <v>#DIV/0!</v>
      </c>
      <c r="R1144" s="449">
        <v>1</v>
      </c>
      <c r="S1144" s="672">
        <v>80</v>
      </c>
      <c r="T1144" s="161" t="e">
        <f t="shared" si="91"/>
        <v>#DIV/0!</v>
      </c>
      <c r="U1144" s="162">
        <f>IF(S1144="nio",0,IF(S1144&gt;0,VLOOKUP(G1144,'3-Productie normen'!A:K,VLOOKUP(S1144,'3-Productie normen'!L:N,3,FALSE),FALSE)))</f>
        <v>0</v>
      </c>
      <c r="V1144" s="162">
        <f>VLOOKUP(G1144,'3-Productie normen'!A:K,10,FALSE)</f>
        <v>16013.110036668773</v>
      </c>
      <c r="W1144" s="163">
        <f>VLOOKUP(G1144,'3-Productie normen'!A:K,11,FALSE)</f>
        <v>0</v>
      </c>
      <c r="X1144" s="163"/>
      <c r="Z1144" s="129">
        <f t="shared" si="92"/>
        <v>4288</v>
      </c>
    </row>
    <row r="1145" spans="1:26" ht="14.1" customHeight="1">
      <c r="A1145" s="144">
        <v>1183</v>
      </c>
      <c r="B1145" s="485" t="s">
        <v>252</v>
      </c>
      <c r="C1145" s="303" t="s">
        <v>746</v>
      </c>
      <c r="D1145" s="304" t="s">
        <v>98</v>
      </c>
      <c r="E1145" s="694" t="s">
        <v>502</v>
      </c>
      <c r="F1145" s="303" t="s">
        <v>470</v>
      </c>
      <c r="G1145" s="460" t="s">
        <v>221</v>
      </c>
      <c r="H1145" s="504" t="s">
        <v>375</v>
      </c>
      <c r="I1145" s="582" t="str">
        <f>VLOOKUP(H1145,'9a-Typen vloeren'!$A$10:$B$40,2,FALSE)</f>
        <v>n.v.t.</v>
      </c>
      <c r="J1145" s="433">
        <v>53.6</v>
      </c>
      <c r="K1145" s="433">
        <f t="shared" si="93"/>
        <v>0</v>
      </c>
      <c r="L1145" s="433">
        <f t="shared" si="94"/>
        <v>0</v>
      </c>
      <c r="M1145" s="433">
        <f t="shared" si="95"/>
        <v>0</v>
      </c>
      <c r="N1145" s="672"/>
      <c r="O1145" s="729">
        <f>IF(N1145="",0,N1145*K1145/'9b-Vloeronderhoud'!$F$4)</f>
        <v>0</v>
      </c>
      <c r="P1145" s="672"/>
      <c r="Q1145" s="729" t="e">
        <f>IF(O1145="",0,P1145*L1145/'9b-Vloeronderhoud'!$F$6)</f>
        <v>#DIV/0!</v>
      </c>
      <c r="R1145" s="449">
        <v>1</v>
      </c>
      <c r="S1145" s="672">
        <v>80</v>
      </c>
      <c r="T1145" s="161" t="e">
        <f t="shared" si="91"/>
        <v>#DIV/0!</v>
      </c>
      <c r="U1145" s="162">
        <f>IF(S1145="nio",0,IF(S1145&gt;0,VLOOKUP(G1145,'3-Productie normen'!A:K,VLOOKUP(S1145,'3-Productie normen'!L:N,3,FALSE),FALSE)))</f>
        <v>0</v>
      </c>
      <c r="V1145" s="162">
        <f>VLOOKUP(G1145,'3-Productie normen'!A:K,10,FALSE)</f>
        <v>16013.110036668773</v>
      </c>
      <c r="W1145" s="163">
        <f>VLOOKUP(G1145,'3-Productie normen'!A:K,11,FALSE)</f>
        <v>0</v>
      </c>
      <c r="X1145" s="163"/>
      <c r="Z1145" s="129">
        <f t="shared" si="92"/>
        <v>4288</v>
      </c>
    </row>
    <row r="1146" spans="1:26" ht="14.1" customHeight="1">
      <c r="A1146" s="144">
        <v>1184</v>
      </c>
      <c r="B1146" s="485" t="s">
        <v>252</v>
      </c>
      <c r="C1146" s="303" t="s">
        <v>746</v>
      </c>
      <c r="D1146" s="304">
        <v>1</v>
      </c>
      <c r="E1146" s="694" t="s">
        <v>761</v>
      </c>
      <c r="F1146" s="303" t="s">
        <v>481</v>
      </c>
      <c r="G1146" s="303" t="s">
        <v>287</v>
      </c>
      <c r="H1146" s="504" t="s">
        <v>375</v>
      </c>
      <c r="I1146" s="582" t="str">
        <f>VLOOKUP(H1146,'9a-Typen vloeren'!$A$10:$B$40,2,FALSE)</f>
        <v>n.v.t.</v>
      </c>
      <c r="J1146" s="433">
        <v>9</v>
      </c>
      <c r="K1146" s="433">
        <f t="shared" si="93"/>
        <v>0</v>
      </c>
      <c r="L1146" s="433">
        <f t="shared" si="94"/>
        <v>0</v>
      </c>
      <c r="M1146" s="433">
        <f t="shared" si="95"/>
        <v>0</v>
      </c>
      <c r="N1146" s="672"/>
      <c r="O1146" s="729">
        <f>IF(N1146="",0,N1146*K1146/'9b-Vloeronderhoud'!$F$4)</f>
        <v>0</v>
      </c>
      <c r="P1146" s="672"/>
      <c r="Q1146" s="729" t="e">
        <f>IF(O1146="",0,P1146*L1146/'9b-Vloeronderhoud'!$F$6)</f>
        <v>#DIV/0!</v>
      </c>
      <c r="R1146" s="449">
        <v>1</v>
      </c>
      <c r="S1146" s="672">
        <v>80</v>
      </c>
      <c r="T1146" s="161" t="e">
        <f t="shared" si="91"/>
        <v>#DIV/0!</v>
      </c>
      <c r="U1146" s="162">
        <f>IF(S1146="nio",0,IF(S1146&gt;0,VLOOKUP(G1146,'3-Productie normen'!A:K,VLOOKUP(S1146,'3-Productie normen'!L:N,3,FALSE),FALSE)))</f>
        <v>0</v>
      </c>
      <c r="V1146" s="162">
        <f>VLOOKUP(G1146,'3-Productie normen'!A:K,10,FALSE)</f>
        <v>519.460002565384</v>
      </c>
      <c r="W1146" s="163">
        <f>VLOOKUP(G1146,'3-Productie normen'!A:K,11,FALSE)</f>
        <v>0</v>
      </c>
      <c r="X1146" s="163"/>
      <c r="Z1146" s="129">
        <f t="shared" si="92"/>
        <v>720</v>
      </c>
    </row>
    <row r="1147" spans="1:26" ht="14.1" customHeight="1">
      <c r="A1147" s="144">
        <v>1185</v>
      </c>
      <c r="B1147" s="485" t="s">
        <v>252</v>
      </c>
      <c r="C1147" s="303" t="s">
        <v>746</v>
      </c>
      <c r="D1147" s="304">
        <v>1</v>
      </c>
      <c r="E1147" s="694" t="s">
        <v>351</v>
      </c>
      <c r="F1147" s="303" t="s">
        <v>404</v>
      </c>
      <c r="G1147" s="460" t="s">
        <v>286</v>
      </c>
      <c r="H1147" s="504" t="s">
        <v>375</v>
      </c>
      <c r="I1147" s="582" t="str">
        <f>VLOOKUP(H1147,'9a-Typen vloeren'!$A$10:$B$40,2,FALSE)</f>
        <v>n.v.t.</v>
      </c>
      <c r="J1147" s="433">
        <v>19</v>
      </c>
      <c r="K1147" s="433">
        <f t="shared" si="93"/>
        <v>0</v>
      </c>
      <c r="L1147" s="433">
        <f t="shared" si="94"/>
        <v>0</v>
      </c>
      <c r="M1147" s="433">
        <f t="shared" si="95"/>
        <v>0</v>
      </c>
      <c r="N1147" s="672"/>
      <c r="O1147" s="729">
        <f>IF(N1147="",0,N1147*K1147/'9b-Vloeronderhoud'!$F$4)</f>
        <v>0</v>
      </c>
      <c r="P1147" s="672"/>
      <c r="Q1147" s="729" t="e">
        <f>IF(O1147="",0,P1147*L1147/'9b-Vloeronderhoud'!$F$6)</f>
        <v>#DIV/0!</v>
      </c>
      <c r="R1147" s="449">
        <v>1</v>
      </c>
      <c r="S1147" s="672">
        <v>120</v>
      </c>
      <c r="T1147" s="161" t="e">
        <f t="shared" si="91"/>
        <v>#DIV/0!</v>
      </c>
      <c r="U1147" s="162">
        <f>IF(S1147="nio",0,IF(S1147&gt;0,VLOOKUP(G1147,'3-Productie normen'!A:K,VLOOKUP(S1147,'3-Productie normen'!L:N,3,FALSE),FALSE)))</f>
        <v>0</v>
      </c>
      <c r="V1147" s="162">
        <f>VLOOKUP(G1147,'3-Productie normen'!A:K,10,FALSE)</f>
        <v>6152.9500017547598</v>
      </c>
      <c r="W1147" s="163">
        <f>VLOOKUP(G1147,'3-Productie normen'!A:K,11,FALSE)</f>
        <v>0</v>
      </c>
      <c r="X1147" s="163"/>
      <c r="Z1147" s="129">
        <f t="shared" si="92"/>
        <v>2280</v>
      </c>
    </row>
    <row r="1148" spans="1:26" ht="14.1" customHeight="1">
      <c r="A1148" s="144">
        <v>1186</v>
      </c>
      <c r="B1148" s="485" t="s">
        <v>252</v>
      </c>
      <c r="C1148" s="303" t="s">
        <v>746</v>
      </c>
      <c r="D1148" s="304">
        <v>1</v>
      </c>
      <c r="E1148" s="694" t="s">
        <v>352</v>
      </c>
      <c r="F1148" s="303" t="s">
        <v>470</v>
      </c>
      <c r="G1148" s="303" t="s">
        <v>221</v>
      </c>
      <c r="H1148" s="504" t="s">
        <v>375</v>
      </c>
      <c r="I1148" s="582" t="str">
        <f>VLOOKUP(H1148,'9a-Typen vloeren'!$A$10:$B$40,2,FALSE)</f>
        <v>n.v.t.</v>
      </c>
      <c r="J1148" s="433">
        <v>29.1</v>
      </c>
      <c r="K1148" s="433">
        <f t="shared" si="93"/>
        <v>0</v>
      </c>
      <c r="L1148" s="433">
        <f t="shared" si="94"/>
        <v>0</v>
      </c>
      <c r="M1148" s="433">
        <f t="shared" si="95"/>
        <v>0</v>
      </c>
      <c r="N1148" s="672"/>
      <c r="O1148" s="729">
        <f>IF(N1148="",0,N1148*K1148/'9b-Vloeronderhoud'!$F$4)</f>
        <v>0</v>
      </c>
      <c r="P1148" s="672"/>
      <c r="Q1148" s="729" t="e">
        <f>IF(O1148="",0,P1148*L1148/'9b-Vloeronderhoud'!$F$6)</f>
        <v>#DIV/0!</v>
      </c>
      <c r="R1148" s="449">
        <v>1</v>
      </c>
      <c r="S1148" s="672">
        <v>80</v>
      </c>
      <c r="T1148" s="161" t="e">
        <f t="shared" si="91"/>
        <v>#DIV/0!</v>
      </c>
      <c r="U1148" s="162">
        <f>IF(S1148="nio",0,IF(S1148&gt;0,VLOOKUP(G1148,'3-Productie normen'!A:K,VLOOKUP(S1148,'3-Productie normen'!L:N,3,FALSE),FALSE)))</f>
        <v>0</v>
      </c>
      <c r="V1148" s="162">
        <f>VLOOKUP(G1148,'3-Productie normen'!A:K,10,FALSE)</f>
        <v>16013.110036668773</v>
      </c>
      <c r="W1148" s="163">
        <f>VLOOKUP(G1148,'3-Productie normen'!A:K,11,FALSE)</f>
        <v>0</v>
      </c>
      <c r="X1148" s="163"/>
      <c r="Z1148" s="129">
        <f t="shared" si="92"/>
        <v>2328</v>
      </c>
    </row>
    <row r="1149" spans="1:26" ht="14.1" customHeight="1">
      <c r="A1149" s="144">
        <v>1187</v>
      </c>
      <c r="B1149" s="485" t="s">
        <v>252</v>
      </c>
      <c r="C1149" s="303" t="s">
        <v>746</v>
      </c>
      <c r="D1149" s="304">
        <v>1</v>
      </c>
      <c r="E1149" s="694" t="s">
        <v>354</v>
      </c>
      <c r="F1149" s="303" t="s">
        <v>760</v>
      </c>
      <c r="G1149" s="460" t="s">
        <v>881</v>
      </c>
      <c r="H1149" s="504" t="s">
        <v>375</v>
      </c>
      <c r="I1149" s="582" t="str">
        <f>VLOOKUP(H1149,'9a-Typen vloeren'!$A$10:$B$40,2,FALSE)</f>
        <v>n.v.t.</v>
      </c>
      <c r="J1149" s="433"/>
      <c r="K1149" s="433">
        <f t="shared" si="93"/>
        <v>0</v>
      </c>
      <c r="L1149" s="433">
        <f t="shared" si="94"/>
        <v>0</v>
      </c>
      <c r="M1149" s="433">
        <f t="shared" si="95"/>
        <v>0</v>
      </c>
      <c r="N1149" s="672"/>
      <c r="O1149" s="729">
        <f>IF(N1149="",0,N1149*K1149/'9b-Vloeronderhoud'!$F$4)</f>
        <v>0</v>
      </c>
      <c r="P1149" s="672"/>
      <c r="Q1149" s="729" t="e">
        <f>IF(O1149="",0,P1149*L1149/'9b-Vloeronderhoud'!$F$6)</f>
        <v>#DIV/0!</v>
      </c>
      <c r="R1149" s="449">
        <v>1</v>
      </c>
      <c r="S1149" s="672" t="s">
        <v>179</v>
      </c>
      <c r="T1149" s="161">
        <f t="shared" si="91"/>
        <v>0</v>
      </c>
      <c r="U1149" s="162">
        <f>IF(S1149="nio",0,IF(S1149&gt;0,VLOOKUP(G1149,'3-Productie normen'!A:K,VLOOKUP(S1149,'3-Productie normen'!L:N,3,FALSE),FALSE)))</f>
        <v>0</v>
      </c>
      <c r="V1149" s="162">
        <f>VLOOKUP(G1149,'3-Productie normen'!A:K,10,FALSE)</f>
        <v>5262.809993648526</v>
      </c>
      <c r="W1149" s="163">
        <f>VLOOKUP(G1149,'3-Productie normen'!A:K,11,FALSE)</f>
        <v>0</v>
      </c>
      <c r="X1149" s="163"/>
      <c r="Z1149" s="129">
        <f t="shared" si="92"/>
        <v>0</v>
      </c>
    </row>
    <row r="1150" spans="1:26" ht="14.1" customHeight="1">
      <c r="A1150" s="144">
        <v>1188</v>
      </c>
      <c r="B1150" s="485" t="s">
        <v>228</v>
      </c>
      <c r="C1150" s="159" t="s">
        <v>426</v>
      </c>
      <c r="D1150" s="132" t="s">
        <v>98</v>
      </c>
      <c r="E1150" s="702" t="s">
        <v>428</v>
      </c>
      <c r="F1150" s="126" t="s">
        <v>99</v>
      </c>
      <c r="G1150" s="303" t="s">
        <v>99</v>
      </c>
      <c r="H1150" s="516" t="s">
        <v>100</v>
      </c>
      <c r="I1150" s="582" t="str">
        <f>VLOOKUP(H1150,'9a-Typen vloeren'!$A$10:$B$40,2,FALSE)</f>
        <v>Sprayen/ conserveren</v>
      </c>
      <c r="J1150" s="584">
        <v>43.8</v>
      </c>
      <c r="K1150" s="433">
        <f t="shared" si="93"/>
        <v>43.8</v>
      </c>
      <c r="L1150" s="433">
        <f t="shared" si="94"/>
        <v>0</v>
      </c>
      <c r="M1150" s="433">
        <f t="shared" si="95"/>
        <v>0</v>
      </c>
      <c r="N1150" s="672">
        <v>2</v>
      </c>
      <c r="O1150" s="729" t="e">
        <f>IF(N1150="",0,N1150*K1150/'9b-Vloeronderhoud'!$F$4)</f>
        <v>#DIV/0!</v>
      </c>
      <c r="P1150" s="672"/>
      <c r="Q1150" s="729" t="e">
        <f>IF(O1150="",0,P1150*L1150/'9b-Vloeronderhoud'!$F$6)</f>
        <v>#DIV/0!</v>
      </c>
      <c r="R1150" s="449">
        <v>1</v>
      </c>
      <c r="S1150" s="672">
        <v>190</v>
      </c>
      <c r="T1150" s="161" t="e">
        <f t="shared" si="91"/>
        <v>#DIV/0!</v>
      </c>
      <c r="U1150" s="162">
        <f>IF(S1150="nio",0,IF(S1150&gt;0,VLOOKUP(G1150,'3-Productie normen'!A:K,VLOOKUP(S1150,'3-Productie normen'!L:N,3,FALSE),FALSE)))</f>
        <v>0</v>
      </c>
      <c r="V1150" s="162">
        <f>VLOOKUP(G1150,'3-Productie normen'!A:K,10,FALSE)</f>
        <v>726.97999910354622</v>
      </c>
      <c r="W1150" s="163">
        <f>VLOOKUP(G1150,'3-Productie normen'!A:K,11,FALSE)</f>
        <v>0</v>
      </c>
      <c r="X1150" s="163"/>
      <c r="Z1150" s="129">
        <f t="shared" si="92"/>
        <v>8322</v>
      </c>
    </row>
    <row r="1151" spans="1:26" ht="14.1" customHeight="1">
      <c r="A1151" s="144">
        <v>1189</v>
      </c>
      <c r="B1151" s="485" t="s">
        <v>228</v>
      </c>
      <c r="C1151" s="159" t="s">
        <v>426</v>
      </c>
      <c r="D1151" s="132" t="s">
        <v>98</v>
      </c>
      <c r="E1151" s="702" t="s">
        <v>429</v>
      </c>
      <c r="F1151" s="126" t="s">
        <v>430</v>
      </c>
      <c r="G1151" s="122" t="s">
        <v>286</v>
      </c>
      <c r="H1151" s="516" t="s">
        <v>100</v>
      </c>
      <c r="I1151" s="582" t="str">
        <f>VLOOKUP(H1151,'9a-Typen vloeren'!$A$10:$B$40,2,FALSE)</f>
        <v>Sprayen/ conserveren</v>
      </c>
      <c r="J1151" s="584">
        <v>80</v>
      </c>
      <c r="K1151" s="433">
        <f t="shared" si="93"/>
        <v>80</v>
      </c>
      <c r="L1151" s="433">
        <f t="shared" si="94"/>
        <v>0</v>
      </c>
      <c r="M1151" s="433">
        <f t="shared" si="95"/>
        <v>0</v>
      </c>
      <c r="N1151" s="672">
        <v>2</v>
      </c>
      <c r="O1151" s="729" t="e">
        <f>IF(N1151="",0,N1151*K1151/'9b-Vloeronderhoud'!$F$4)</f>
        <v>#DIV/0!</v>
      </c>
      <c r="P1151" s="672"/>
      <c r="Q1151" s="729" t="e">
        <f>IF(O1151="",0,P1151*L1151/'9b-Vloeronderhoud'!$F$6)</f>
        <v>#DIV/0!</v>
      </c>
      <c r="R1151" s="449">
        <v>1</v>
      </c>
      <c r="S1151" s="672">
        <v>120</v>
      </c>
      <c r="T1151" s="161" t="e">
        <f t="shared" si="91"/>
        <v>#DIV/0!</v>
      </c>
      <c r="U1151" s="162">
        <f>IF(S1151="nio",0,IF(S1151&gt;0,VLOOKUP(G1151,'3-Productie normen'!A:K,VLOOKUP(S1151,'3-Productie normen'!L:N,3,FALSE),FALSE)))</f>
        <v>0</v>
      </c>
      <c r="V1151" s="162">
        <f>VLOOKUP(G1151,'3-Productie normen'!A:K,10,FALSE)</f>
        <v>6152.9500017547598</v>
      </c>
      <c r="W1151" s="163">
        <f>VLOOKUP(G1151,'3-Productie normen'!A:K,11,FALSE)</f>
        <v>0</v>
      </c>
      <c r="X1151" s="163"/>
      <c r="Z1151" s="129">
        <f t="shared" si="92"/>
        <v>9600</v>
      </c>
    </row>
    <row r="1152" spans="1:26" ht="14.1" customHeight="1">
      <c r="A1152" s="144">
        <v>1190</v>
      </c>
      <c r="B1152" s="485" t="s">
        <v>228</v>
      </c>
      <c r="C1152" s="159" t="s">
        <v>426</v>
      </c>
      <c r="D1152" s="132" t="s">
        <v>98</v>
      </c>
      <c r="E1152" s="702" t="s">
        <v>431</v>
      </c>
      <c r="F1152" s="126" t="s">
        <v>434</v>
      </c>
      <c r="G1152" s="460" t="s">
        <v>286</v>
      </c>
      <c r="H1152" s="516" t="s">
        <v>100</v>
      </c>
      <c r="I1152" s="582" t="str">
        <f>VLOOKUP(H1152,'9a-Typen vloeren'!$A$10:$B$40,2,FALSE)</f>
        <v>Sprayen/ conserveren</v>
      </c>
      <c r="J1152" s="584">
        <v>58.7</v>
      </c>
      <c r="K1152" s="433">
        <f t="shared" si="93"/>
        <v>58.7</v>
      </c>
      <c r="L1152" s="433">
        <f t="shared" si="94"/>
        <v>0</v>
      </c>
      <c r="M1152" s="433">
        <f t="shared" si="95"/>
        <v>0</v>
      </c>
      <c r="N1152" s="672">
        <v>2</v>
      </c>
      <c r="O1152" s="729" t="e">
        <f>IF(N1152="",0,N1152*K1152/'9b-Vloeronderhoud'!$F$4)</f>
        <v>#DIV/0!</v>
      </c>
      <c r="P1152" s="672"/>
      <c r="Q1152" s="729" t="e">
        <f>IF(O1152="",0,P1152*L1152/'9b-Vloeronderhoud'!$F$6)</f>
        <v>#DIV/0!</v>
      </c>
      <c r="R1152" s="449">
        <v>1</v>
      </c>
      <c r="S1152" s="672">
        <v>120</v>
      </c>
      <c r="T1152" s="161" t="e">
        <f t="shared" si="91"/>
        <v>#DIV/0!</v>
      </c>
      <c r="U1152" s="162">
        <f>IF(S1152="nio",0,IF(S1152&gt;0,VLOOKUP(G1152,'3-Productie normen'!A:K,VLOOKUP(S1152,'3-Productie normen'!L:N,3,FALSE),FALSE)))</f>
        <v>0</v>
      </c>
      <c r="V1152" s="162">
        <f>VLOOKUP(G1152,'3-Productie normen'!A:K,10,FALSE)</f>
        <v>6152.9500017547598</v>
      </c>
      <c r="W1152" s="163">
        <f>VLOOKUP(G1152,'3-Productie normen'!A:K,11,FALSE)</f>
        <v>0</v>
      </c>
      <c r="X1152" s="163"/>
      <c r="Z1152" s="129">
        <f t="shared" si="92"/>
        <v>7044</v>
      </c>
    </row>
    <row r="1153" spans="1:26" ht="14.1" customHeight="1">
      <c r="A1153" s="144">
        <v>1191</v>
      </c>
      <c r="B1153" s="485" t="s">
        <v>228</v>
      </c>
      <c r="C1153" s="159" t="s">
        <v>426</v>
      </c>
      <c r="D1153" s="132" t="s">
        <v>98</v>
      </c>
      <c r="E1153" s="702" t="s">
        <v>432</v>
      </c>
      <c r="F1153" s="126" t="s">
        <v>438</v>
      </c>
      <c r="G1153" s="460" t="s">
        <v>285</v>
      </c>
      <c r="H1153" s="516" t="s">
        <v>100</v>
      </c>
      <c r="I1153" s="582" t="str">
        <f>VLOOKUP(H1153,'9a-Typen vloeren'!$A$10:$B$40,2,FALSE)</f>
        <v>Sprayen/ conserveren</v>
      </c>
      <c r="J1153" s="584">
        <v>52.9</v>
      </c>
      <c r="K1153" s="433">
        <f t="shared" si="93"/>
        <v>52.9</v>
      </c>
      <c r="L1153" s="433">
        <f t="shared" si="94"/>
        <v>0</v>
      </c>
      <c r="M1153" s="433">
        <f t="shared" si="95"/>
        <v>0</v>
      </c>
      <c r="N1153" s="672"/>
      <c r="O1153" s="729">
        <f>IF(N1153="",0,N1153*K1153/'9b-Vloeronderhoud'!$F$4)</f>
        <v>0</v>
      </c>
      <c r="P1153" s="672"/>
      <c r="Q1153" s="729" t="e">
        <f>IF(O1153="",0,P1153*L1153/'9b-Vloeronderhoud'!$F$6)</f>
        <v>#DIV/0!</v>
      </c>
      <c r="R1153" s="449">
        <v>1</v>
      </c>
      <c r="S1153" s="672">
        <v>190</v>
      </c>
      <c r="T1153" s="161" t="e">
        <f t="shared" si="91"/>
        <v>#DIV/0!</v>
      </c>
      <c r="U1153" s="162">
        <f>IF(S1153="nio",0,IF(S1153&gt;0,VLOOKUP(G1153,'3-Productie normen'!A:K,VLOOKUP(S1153,'3-Productie normen'!L:N,3,FALSE),FALSE)))</f>
        <v>0</v>
      </c>
      <c r="V1153" s="162">
        <f>VLOOKUP(G1153,'3-Productie normen'!A:K,10,FALSE)</f>
        <v>3305.8200070953367</v>
      </c>
      <c r="W1153" s="163">
        <f>VLOOKUP(G1153,'3-Productie normen'!A:K,11,FALSE)</f>
        <v>0</v>
      </c>
      <c r="X1153" s="163"/>
      <c r="Z1153" s="129">
        <f t="shared" si="92"/>
        <v>10051</v>
      </c>
    </row>
    <row r="1154" spans="1:26" ht="14.1" customHeight="1">
      <c r="A1154" s="144">
        <v>1192</v>
      </c>
      <c r="B1154" s="485" t="s">
        <v>228</v>
      </c>
      <c r="C1154" s="159" t="s">
        <v>426</v>
      </c>
      <c r="D1154" s="132" t="s">
        <v>98</v>
      </c>
      <c r="E1154" s="702" t="s">
        <v>433</v>
      </c>
      <c r="F1154" s="126" t="s">
        <v>284</v>
      </c>
      <c r="G1154" s="460" t="s">
        <v>99</v>
      </c>
      <c r="H1154" s="516" t="s">
        <v>100</v>
      </c>
      <c r="I1154" s="582" t="str">
        <f>VLOOKUP(H1154,'9a-Typen vloeren'!$A$10:$B$40,2,FALSE)</f>
        <v>Sprayen/ conserveren</v>
      </c>
      <c r="J1154" s="584">
        <v>10.1</v>
      </c>
      <c r="K1154" s="433">
        <f t="shared" si="93"/>
        <v>10.1</v>
      </c>
      <c r="L1154" s="433">
        <f t="shared" si="94"/>
        <v>0</v>
      </c>
      <c r="M1154" s="433">
        <f t="shared" si="95"/>
        <v>0</v>
      </c>
      <c r="N1154" s="672">
        <v>2</v>
      </c>
      <c r="O1154" s="729" t="e">
        <f>IF(N1154="",0,N1154*K1154/'9b-Vloeronderhoud'!$F$4)</f>
        <v>#DIV/0!</v>
      </c>
      <c r="P1154" s="672"/>
      <c r="Q1154" s="729" t="e">
        <f>IF(O1154="",0,P1154*L1154/'9b-Vloeronderhoud'!$F$6)</f>
        <v>#DIV/0!</v>
      </c>
      <c r="R1154" s="449">
        <v>1</v>
      </c>
      <c r="S1154" s="672">
        <v>190</v>
      </c>
      <c r="T1154" s="161" t="e">
        <f t="shared" si="91"/>
        <v>#DIV/0!</v>
      </c>
      <c r="U1154" s="162">
        <f>IF(S1154="nio",0,IF(S1154&gt;0,VLOOKUP(G1154,'3-Productie normen'!A:K,VLOOKUP(S1154,'3-Productie normen'!L:N,3,FALSE),FALSE)))</f>
        <v>0</v>
      </c>
      <c r="V1154" s="162">
        <f>VLOOKUP(G1154,'3-Productie normen'!A:K,10,FALSE)</f>
        <v>726.97999910354622</v>
      </c>
      <c r="W1154" s="163">
        <f>VLOOKUP(G1154,'3-Productie normen'!A:K,11,FALSE)</f>
        <v>0</v>
      </c>
      <c r="X1154" s="163"/>
      <c r="Z1154" s="129">
        <f t="shared" si="92"/>
        <v>1919</v>
      </c>
    </row>
    <row r="1155" spans="1:26" ht="14.1" customHeight="1">
      <c r="A1155" s="144">
        <v>1193</v>
      </c>
      <c r="B1155" s="485" t="s">
        <v>228</v>
      </c>
      <c r="C1155" s="159" t="s">
        <v>426</v>
      </c>
      <c r="D1155" s="132" t="s">
        <v>98</v>
      </c>
      <c r="E1155" s="702" t="s">
        <v>435</v>
      </c>
      <c r="F1155" s="126" t="s">
        <v>402</v>
      </c>
      <c r="G1155" s="460" t="s">
        <v>18</v>
      </c>
      <c r="H1155" s="534" t="s">
        <v>954</v>
      </c>
      <c r="I1155" s="582" t="str">
        <f>VLOOKUP(H1155,'9a-Typen vloeren'!$A$10:$B$40,2,FALSE)</f>
        <v>zie kwaliteitsontwerp</v>
      </c>
      <c r="J1155" s="584">
        <v>8.4</v>
      </c>
      <c r="K1155" s="433">
        <f t="shared" si="93"/>
        <v>0</v>
      </c>
      <c r="L1155" s="433">
        <f t="shared" si="94"/>
        <v>0</v>
      </c>
      <c r="M1155" s="433">
        <f t="shared" si="95"/>
        <v>0</v>
      </c>
      <c r="N1155" s="672"/>
      <c r="O1155" s="729">
        <f>IF(N1155="",0,N1155*K1155/'9b-Vloeronderhoud'!$F$4)</f>
        <v>0</v>
      </c>
      <c r="P1155" s="672"/>
      <c r="Q1155" s="729" t="e">
        <f>IF(O1155="",0,P1155*L1155/'9b-Vloeronderhoud'!$F$6)</f>
        <v>#DIV/0!</v>
      </c>
      <c r="R1155" s="449">
        <v>1</v>
      </c>
      <c r="S1155" s="672">
        <v>190</v>
      </c>
      <c r="T1155" s="161" t="e">
        <f t="shared" si="91"/>
        <v>#DIV/0!</v>
      </c>
      <c r="U1155" s="162">
        <f>IF(S1155="nio",0,IF(S1155&gt;0,VLOOKUP(G1155,'3-Productie normen'!A:K,VLOOKUP(S1155,'3-Productie normen'!L:N,3,FALSE),FALSE)))</f>
        <v>0</v>
      </c>
      <c r="V1155" s="162">
        <f>VLOOKUP(G1155,'3-Productie normen'!A:K,10,FALSE)</f>
        <v>1859.5880019121171</v>
      </c>
      <c r="W1155" s="163">
        <f>VLOOKUP(G1155,'3-Productie normen'!A:K,11,FALSE)</f>
        <v>0</v>
      </c>
      <c r="X1155" s="163"/>
      <c r="Z1155" s="129">
        <f t="shared" si="92"/>
        <v>1596</v>
      </c>
    </row>
    <row r="1156" spans="1:26" ht="14.1" customHeight="1">
      <c r="A1156" s="144">
        <v>1194</v>
      </c>
      <c r="B1156" s="485" t="s">
        <v>228</v>
      </c>
      <c r="C1156" s="159" t="s">
        <v>426</v>
      </c>
      <c r="D1156" s="132" t="s">
        <v>98</v>
      </c>
      <c r="E1156" s="702" t="s">
        <v>436</v>
      </c>
      <c r="F1156" s="160" t="s">
        <v>437</v>
      </c>
      <c r="G1156" s="460" t="s">
        <v>285</v>
      </c>
      <c r="H1156" s="516" t="s">
        <v>100</v>
      </c>
      <c r="I1156" s="582" t="str">
        <f>VLOOKUP(H1156,'9a-Typen vloeren'!$A$10:$B$40,2,FALSE)</f>
        <v>Sprayen/ conserveren</v>
      </c>
      <c r="J1156" s="584">
        <v>65.599999999999994</v>
      </c>
      <c r="K1156" s="433">
        <f t="shared" si="93"/>
        <v>65.599999999999994</v>
      </c>
      <c r="L1156" s="433">
        <f t="shared" si="94"/>
        <v>0</v>
      </c>
      <c r="M1156" s="433">
        <f t="shared" si="95"/>
        <v>0</v>
      </c>
      <c r="N1156" s="672"/>
      <c r="O1156" s="729">
        <f>IF(N1156="",0,N1156*K1156/'9b-Vloeronderhoud'!$F$4)</f>
        <v>0</v>
      </c>
      <c r="P1156" s="672"/>
      <c r="Q1156" s="729" t="e">
        <f>IF(O1156="",0,P1156*L1156/'9b-Vloeronderhoud'!$F$6)</f>
        <v>#DIV/0!</v>
      </c>
      <c r="R1156" s="449">
        <v>1</v>
      </c>
      <c r="S1156" s="672">
        <v>190</v>
      </c>
      <c r="T1156" s="161" t="e">
        <f t="shared" si="91"/>
        <v>#DIV/0!</v>
      </c>
      <c r="U1156" s="162">
        <f>IF(S1156="nio",0,IF(S1156&gt;0,VLOOKUP(G1156,'3-Productie normen'!A:K,VLOOKUP(S1156,'3-Productie normen'!L:N,3,FALSE),FALSE)))</f>
        <v>0</v>
      </c>
      <c r="V1156" s="162">
        <f>VLOOKUP(G1156,'3-Productie normen'!A:K,10,FALSE)</f>
        <v>3305.8200070953367</v>
      </c>
      <c r="W1156" s="163">
        <f>VLOOKUP(G1156,'3-Productie normen'!A:K,11,FALSE)</f>
        <v>0</v>
      </c>
      <c r="X1156" s="163"/>
      <c r="Z1156" s="129">
        <f t="shared" si="92"/>
        <v>12463.999999999998</v>
      </c>
    </row>
    <row r="1157" spans="1:26" ht="14.1" customHeight="1">
      <c r="A1157" s="144">
        <v>1195</v>
      </c>
      <c r="B1157" s="485" t="s">
        <v>228</v>
      </c>
      <c r="C1157" s="159" t="s">
        <v>426</v>
      </c>
      <c r="D1157" s="132" t="s">
        <v>98</v>
      </c>
      <c r="E1157" s="702" t="s">
        <v>439</v>
      </c>
      <c r="F1157" s="126" t="s">
        <v>282</v>
      </c>
      <c r="G1157" s="460" t="s">
        <v>881</v>
      </c>
      <c r="H1157" s="516" t="s">
        <v>100</v>
      </c>
      <c r="I1157" s="582" t="str">
        <f>VLOOKUP(H1157,'9a-Typen vloeren'!$A$10:$B$40,2,FALSE)</f>
        <v>Sprayen/ conserveren</v>
      </c>
      <c r="J1157" s="584">
        <v>3.4</v>
      </c>
      <c r="K1157" s="433">
        <f t="shared" si="93"/>
        <v>0</v>
      </c>
      <c r="L1157" s="433">
        <f t="shared" si="94"/>
        <v>0</v>
      </c>
      <c r="M1157" s="433">
        <f t="shared" si="95"/>
        <v>0</v>
      </c>
      <c r="N1157" s="672"/>
      <c r="O1157" s="729">
        <f>IF(N1157="",0,N1157*K1157/'9b-Vloeronderhoud'!$F$4)</f>
        <v>0</v>
      </c>
      <c r="P1157" s="672"/>
      <c r="Q1157" s="729" t="e">
        <f>IF(O1157="",0,P1157*L1157/'9b-Vloeronderhoud'!$F$6)</f>
        <v>#DIV/0!</v>
      </c>
      <c r="R1157" s="449">
        <v>1</v>
      </c>
      <c r="S1157" s="672" t="s">
        <v>179</v>
      </c>
      <c r="T1157" s="161">
        <f t="shared" si="91"/>
        <v>0</v>
      </c>
      <c r="U1157" s="162">
        <f>IF(S1157="nio",0,IF(S1157&gt;0,VLOOKUP(G1157,'3-Productie normen'!A:K,VLOOKUP(S1157,'3-Productie normen'!L:N,3,FALSE),FALSE)))</f>
        <v>0</v>
      </c>
      <c r="V1157" s="162">
        <f>VLOOKUP(G1157,'3-Productie normen'!A:K,10,FALSE)</f>
        <v>5262.809993648526</v>
      </c>
      <c r="W1157" s="163">
        <f>VLOOKUP(G1157,'3-Productie normen'!A:K,11,FALSE)</f>
        <v>0</v>
      </c>
      <c r="X1157" s="163"/>
      <c r="Z1157" s="129">
        <f t="shared" si="92"/>
        <v>0</v>
      </c>
    </row>
    <row r="1158" spans="1:26" ht="14.1" customHeight="1">
      <c r="A1158" s="144">
        <v>1196</v>
      </c>
      <c r="B1158" s="485" t="s">
        <v>228</v>
      </c>
      <c r="C1158" s="159" t="s">
        <v>426</v>
      </c>
      <c r="D1158" s="132" t="s">
        <v>98</v>
      </c>
      <c r="E1158" s="702" t="s">
        <v>440</v>
      </c>
      <c r="F1158" s="126" t="s">
        <v>299</v>
      </c>
      <c r="G1158" s="303" t="s">
        <v>299</v>
      </c>
      <c r="H1158" s="303" t="s">
        <v>332</v>
      </c>
      <c r="I1158" s="582" t="str">
        <f>VLOOKUP(H1158,'9a-Typen vloeren'!$A$10:$B$40,2,FALSE)</f>
        <v>Sproei/extraheren</v>
      </c>
      <c r="J1158" s="584">
        <v>23.6</v>
      </c>
      <c r="K1158" s="433">
        <f t="shared" si="93"/>
        <v>0</v>
      </c>
      <c r="L1158" s="433">
        <f t="shared" si="94"/>
        <v>0</v>
      </c>
      <c r="M1158" s="433">
        <f t="shared" si="95"/>
        <v>23.6</v>
      </c>
      <c r="N1158" s="672"/>
      <c r="O1158" s="729">
        <f>IF(N1158="",0,N1158*K1158/'9b-Vloeronderhoud'!$F$4)</f>
        <v>0</v>
      </c>
      <c r="P1158" s="672"/>
      <c r="Q1158" s="729" t="e">
        <f>IF(O1158="",0,P1158*L1158/'9b-Vloeronderhoud'!$F$6)</f>
        <v>#DIV/0!</v>
      </c>
      <c r="R1158" s="449">
        <v>1</v>
      </c>
      <c r="S1158" s="672">
        <v>40</v>
      </c>
      <c r="T1158" s="161" t="e">
        <f t="shared" si="91"/>
        <v>#DIV/0!</v>
      </c>
      <c r="U1158" s="162">
        <f>IF(S1158="nio",0,IF(S1158&gt;0,VLOOKUP(G1158,'3-Productie normen'!A:K,VLOOKUP(S1158,'3-Productie normen'!L:N,3,FALSE),FALSE)))</f>
        <v>0</v>
      </c>
      <c r="V1158" s="162">
        <f>VLOOKUP(G1158,'3-Productie normen'!A:K,10,FALSE)</f>
        <v>1107.9100014114381</v>
      </c>
      <c r="W1158" s="163">
        <f>VLOOKUP(G1158,'3-Productie normen'!A:K,11,FALSE)</f>
        <v>0</v>
      </c>
      <c r="X1158" s="163"/>
      <c r="Z1158" s="129">
        <f t="shared" si="92"/>
        <v>944</v>
      </c>
    </row>
    <row r="1159" spans="1:26" ht="14.1" customHeight="1">
      <c r="A1159" s="144">
        <v>1197</v>
      </c>
      <c r="B1159" s="485" t="s">
        <v>228</v>
      </c>
      <c r="C1159" s="159" t="s">
        <v>426</v>
      </c>
      <c r="D1159" s="132" t="s">
        <v>98</v>
      </c>
      <c r="E1159" s="702" t="s">
        <v>441</v>
      </c>
      <c r="F1159" s="126" t="s">
        <v>267</v>
      </c>
      <c r="G1159" s="460" t="s">
        <v>18</v>
      </c>
      <c r="H1159" s="534" t="s">
        <v>954</v>
      </c>
      <c r="I1159" s="582" t="str">
        <f>VLOOKUP(H1159,'9a-Typen vloeren'!$A$10:$B$40,2,FALSE)</f>
        <v>zie kwaliteitsontwerp</v>
      </c>
      <c r="J1159" s="584">
        <v>3.6</v>
      </c>
      <c r="K1159" s="433">
        <f t="shared" si="93"/>
        <v>0</v>
      </c>
      <c r="L1159" s="433">
        <f t="shared" si="94"/>
        <v>0</v>
      </c>
      <c r="M1159" s="433">
        <f t="shared" si="95"/>
        <v>0</v>
      </c>
      <c r="N1159" s="672"/>
      <c r="O1159" s="729">
        <f>IF(N1159="",0,N1159*K1159/'9b-Vloeronderhoud'!$F$4)</f>
        <v>0</v>
      </c>
      <c r="P1159" s="672"/>
      <c r="Q1159" s="729" t="e">
        <f>IF(O1159="",0,P1159*L1159/'9b-Vloeronderhoud'!$F$6)</f>
        <v>#DIV/0!</v>
      </c>
      <c r="R1159" s="449">
        <v>1</v>
      </c>
      <c r="S1159" s="672">
        <v>190</v>
      </c>
      <c r="T1159" s="161" t="e">
        <f t="shared" si="91"/>
        <v>#DIV/0!</v>
      </c>
      <c r="U1159" s="162">
        <f>IF(S1159="nio",0,IF(S1159&gt;0,VLOOKUP(G1159,'3-Productie normen'!A:K,VLOOKUP(S1159,'3-Productie normen'!L:N,3,FALSE),FALSE)))</f>
        <v>0</v>
      </c>
      <c r="V1159" s="162">
        <f>VLOOKUP(G1159,'3-Productie normen'!A:K,10,FALSE)</f>
        <v>1859.5880019121171</v>
      </c>
      <c r="W1159" s="163">
        <f>VLOOKUP(G1159,'3-Productie normen'!A:K,11,FALSE)</f>
        <v>0</v>
      </c>
      <c r="X1159" s="163"/>
      <c r="Z1159" s="129">
        <f t="shared" si="92"/>
        <v>684</v>
      </c>
    </row>
    <row r="1160" spans="1:26" ht="14.1" customHeight="1">
      <c r="A1160" s="144">
        <v>1198</v>
      </c>
      <c r="B1160" s="485" t="s">
        <v>228</v>
      </c>
      <c r="C1160" s="159" t="s">
        <v>426</v>
      </c>
      <c r="D1160" s="132" t="s">
        <v>98</v>
      </c>
      <c r="E1160" s="702" t="s">
        <v>442</v>
      </c>
      <c r="F1160" s="126" t="s">
        <v>444</v>
      </c>
      <c r="G1160" s="303" t="s">
        <v>189</v>
      </c>
      <c r="H1160" s="303" t="s">
        <v>332</v>
      </c>
      <c r="I1160" s="582" t="str">
        <f>VLOOKUP(H1160,'9a-Typen vloeren'!$A$10:$B$40,2,FALSE)</f>
        <v>Sproei/extraheren</v>
      </c>
      <c r="J1160" s="584">
        <v>15</v>
      </c>
      <c r="K1160" s="433">
        <f t="shared" si="93"/>
        <v>0</v>
      </c>
      <c r="L1160" s="433">
        <f t="shared" si="94"/>
        <v>0</v>
      </c>
      <c r="M1160" s="433">
        <f t="shared" si="95"/>
        <v>15</v>
      </c>
      <c r="N1160" s="672"/>
      <c r="O1160" s="729">
        <f>IF(N1160="",0,N1160*K1160/'9b-Vloeronderhoud'!$F$4)</f>
        <v>0</v>
      </c>
      <c r="P1160" s="672"/>
      <c r="Q1160" s="729" t="e">
        <f>IF(O1160="",0,P1160*L1160/'9b-Vloeronderhoud'!$F$6)</f>
        <v>#DIV/0!</v>
      </c>
      <c r="R1160" s="449">
        <v>1</v>
      </c>
      <c r="S1160" s="672">
        <v>40</v>
      </c>
      <c r="T1160" s="161" t="e">
        <f t="shared" si="91"/>
        <v>#DIV/0!</v>
      </c>
      <c r="U1160" s="162">
        <f>IF(S1160="nio",0,IF(S1160&gt;0,VLOOKUP(G1160,'3-Productie normen'!A:K,VLOOKUP(S1160,'3-Productie normen'!L:N,3,FALSE),FALSE)))</f>
        <v>0</v>
      </c>
      <c r="V1160" s="162">
        <f>VLOOKUP(G1160,'3-Productie normen'!A:K,10,FALSE)</f>
        <v>1494.1700078582762</v>
      </c>
      <c r="W1160" s="163">
        <f>VLOOKUP(G1160,'3-Productie normen'!A:K,11,FALSE)</f>
        <v>0</v>
      </c>
      <c r="X1160" s="163"/>
      <c r="Z1160" s="129">
        <f t="shared" si="92"/>
        <v>600</v>
      </c>
    </row>
    <row r="1161" spans="1:26" ht="14.1" customHeight="1">
      <c r="A1161" s="144">
        <v>1199</v>
      </c>
      <c r="B1161" s="485" t="s">
        <v>228</v>
      </c>
      <c r="C1161" s="159" t="s">
        <v>426</v>
      </c>
      <c r="D1161" s="132" t="s">
        <v>98</v>
      </c>
      <c r="E1161" s="702" t="s">
        <v>443</v>
      </c>
      <c r="F1161" s="126" t="s">
        <v>445</v>
      </c>
      <c r="G1161" s="122" t="s">
        <v>189</v>
      </c>
      <c r="H1161" s="303" t="s">
        <v>332</v>
      </c>
      <c r="I1161" s="582" t="str">
        <f>VLOOKUP(H1161,'9a-Typen vloeren'!$A$10:$B$40,2,FALSE)</f>
        <v>Sproei/extraheren</v>
      </c>
      <c r="J1161" s="584">
        <v>12.6</v>
      </c>
      <c r="K1161" s="433">
        <f t="shared" si="93"/>
        <v>0</v>
      </c>
      <c r="L1161" s="433">
        <f t="shared" si="94"/>
        <v>0</v>
      </c>
      <c r="M1161" s="433">
        <f t="shared" si="95"/>
        <v>12.6</v>
      </c>
      <c r="N1161" s="672"/>
      <c r="O1161" s="729">
        <f>IF(N1161="",0,N1161*K1161/'9b-Vloeronderhoud'!$F$4)</f>
        <v>0</v>
      </c>
      <c r="P1161" s="672"/>
      <c r="Q1161" s="729" t="e">
        <f>IF(O1161="",0,P1161*L1161/'9b-Vloeronderhoud'!$F$6)</f>
        <v>#DIV/0!</v>
      </c>
      <c r="R1161" s="449">
        <v>1</v>
      </c>
      <c r="S1161" s="672">
        <v>40</v>
      </c>
      <c r="T1161" s="161" t="e">
        <f t="shared" si="91"/>
        <v>#DIV/0!</v>
      </c>
      <c r="U1161" s="162">
        <f>IF(S1161="nio",0,IF(S1161&gt;0,VLOOKUP(G1161,'3-Productie normen'!A:K,VLOOKUP(S1161,'3-Productie normen'!L:N,3,FALSE),FALSE)))</f>
        <v>0</v>
      </c>
      <c r="V1161" s="162">
        <f>VLOOKUP(G1161,'3-Productie normen'!A:K,10,FALSE)</f>
        <v>1494.1700078582762</v>
      </c>
      <c r="W1161" s="163">
        <f>VLOOKUP(G1161,'3-Productie normen'!A:K,11,FALSE)</f>
        <v>0</v>
      </c>
      <c r="X1161" s="163"/>
      <c r="Z1161" s="129">
        <f t="shared" si="92"/>
        <v>504</v>
      </c>
    </row>
    <row r="1162" spans="1:26" ht="14.1" customHeight="1">
      <c r="A1162" s="144">
        <v>1200</v>
      </c>
      <c r="B1162" s="485" t="s">
        <v>228</v>
      </c>
      <c r="C1162" s="159" t="s">
        <v>426</v>
      </c>
      <c r="D1162" s="132" t="s">
        <v>98</v>
      </c>
      <c r="E1162" s="702" t="s">
        <v>446</v>
      </c>
      <c r="F1162" s="126" t="s">
        <v>404</v>
      </c>
      <c r="G1162" s="533" t="s">
        <v>286</v>
      </c>
      <c r="H1162" s="516" t="s">
        <v>100</v>
      </c>
      <c r="I1162" s="582" t="str">
        <f>VLOOKUP(H1162,'9a-Typen vloeren'!$A$10:$B$40,2,FALSE)</f>
        <v>Sprayen/ conserveren</v>
      </c>
      <c r="J1162" s="584">
        <v>11.6</v>
      </c>
      <c r="K1162" s="433">
        <f t="shared" si="93"/>
        <v>11.6</v>
      </c>
      <c r="L1162" s="433">
        <f t="shared" si="94"/>
        <v>0</v>
      </c>
      <c r="M1162" s="433">
        <f t="shared" si="95"/>
        <v>0</v>
      </c>
      <c r="N1162" s="672">
        <v>2</v>
      </c>
      <c r="O1162" s="729" t="e">
        <f>IF(N1162="",0,N1162*K1162/'9b-Vloeronderhoud'!$F$4)</f>
        <v>#DIV/0!</v>
      </c>
      <c r="P1162" s="672"/>
      <c r="Q1162" s="729" t="e">
        <f>IF(O1162="",0,P1162*L1162/'9b-Vloeronderhoud'!$F$6)</f>
        <v>#DIV/0!</v>
      </c>
      <c r="R1162" s="449">
        <v>1</v>
      </c>
      <c r="S1162" s="672">
        <v>120</v>
      </c>
      <c r="T1162" s="161" t="e">
        <f t="shared" ref="T1162:T1225" si="96">IF(S1162="nio",0,IF(S1162&gt;0,S1162*J1162/U1162,0))*R1162</f>
        <v>#DIV/0!</v>
      </c>
      <c r="U1162" s="162">
        <f>IF(S1162="nio",0,IF(S1162&gt;0,VLOOKUP(G1162,'3-Productie normen'!A:K,VLOOKUP(S1162,'3-Productie normen'!L:N,3,FALSE),FALSE)))</f>
        <v>0</v>
      </c>
      <c r="V1162" s="162">
        <f>VLOOKUP(G1162,'3-Productie normen'!A:K,10,FALSE)</f>
        <v>6152.9500017547598</v>
      </c>
      <c r="W1162" s="163">
        <f>VLOOKUP(G1162,'3-Productie normen'!A:K,11,FALSE)</f>
        <v>0</v>
      </c>
      <c r="X1162" s="163"/>
      <c r="Z1162" s="129">
        <f t="shared" ref="Z1162:Z1225" si="97">SUM(S1162:S1162)*J1162</f>
        <v>1392</v>
      </c>
    </row>
    <row r="1163" spans="1:26" ht="14.1" customHeight="1">
      <c r="A1163" s="144">
        <v>1201</v>
      </c>
      <c r="B1163" s="485" t="s">
        <v>228</v>
      </c>
      <c r="C1163" s="159" t="s">
        <v>426</v>
      </c>
      <c r="D1163" s="132" t="s">
        <v>98</v>
      </c>
      <c r="E1163" s="702" t="s">
        <v>447</v>
      </c>
      <c r="F1163" s="126" t="s">
        <v>490</v>
      </c>
      <c r="G1163" s="122" t="s">
        <v>286</v>
      </c>
      <c r="H1163" s="516" t="s">
        <v>100</v>
      </c>
      <c r="I1163" s="582" t="str">
        <f>VLOOKUP(H1163,'9a-Typen vloeren'!$A$10:$B$40,2,FALSE)</f>
        <v>Sprayen/ conserveren</v>
      </c>
      <c r="J1163" s="584">
        <v>5</v>
      </c>
      <c r="K1163" s="433">
        <f t="shared" si="93"/>
        <v>5</v>
      </c>
      <c r="L1163" s="433">
        <f t="shared" si="94"/>
        <v>0</v>
      </c>
      <c r="M1163" s="433">
        <f t="shared" si="95"/>
        <v>0</v>
      </c>
      <c r="N1163" s="672"/>
      <c r="O1163" s="729">
        <f>IF(N1163="",0,N1163*K1163/'9b-Vloeronderhoud'!$F$4)</f>
        <v>0</v>
      </c>
      <c r="P1163" s="672"/>
      <c r="Q1163" s="729" t="e">
        <f>IF(O1163="",0,P1163*L1163/'9b-Vloeronderhoud'!$F$6)</f>
        <v>#DIV/0!</v>
      </c>
      <c r="R1163" s="449">
        <v>1</v>
      </c>
      <c r="S1163" s="672">
        <v>80</v>
      </c>
      <c r="T1163" s="161" t="e">
        <f t="shared" si="96"/>
        <v>#DIV/0!</v>
      </c>
      <c r="U1163" s="162">
        <f>IF(S1163="nio",0,IF(S1163&gt;0,VLOOKUP(G1163,'3-Productie normen'!A:K,VLOOKUP(S1163,'3-Productie normen'!L:N,3,FALSE),FALSE)))</f>
        <v>0</v>
      </c>
      <c r="V1163" s="162">
        <f>VLOOKUP(G1163,'3-Productie normen'!A:K,10,FALSE)</f>
        <v>6152.9500017547598</v>
      </c>
      <c r="W1163" s="163">
        <f>VLOOKUP(G1163,'3-Productie normen'!A:K,11,FALSE)</f>
        <v>0</v>
      </c>
      <c r="X1163" s="163"/>
      <c r="Z1163" s="129">
        <f t="shared" si="97"/>
        <v>400</v>
      </c>
    </row>
    <row r="1164" spans="1:26" ht="14.1" customHeight="1">
      <c r="A1164" s="144">
        <v>1202</v>
      </c>
      <c r="B1164" s="485" t="s">
        <v>228</v>
      </c>
      <c r="C1164" s="159" t="s">
        <v>426</v>
      </c>
      <c r="D1164" s="132" t="s">
        <v>98</v>
      </c>
      <c r="E1164" s="702" t="s">
        <v>448</v>
      </c>
      <c r="F1164" s="126" t="s">
        <v>451</v>
      </c>
      <c r="G1164" s="460" t="s">
        <v>881</v>
      </c>
      <c r="H1164" s="516" t="s">
        <v>100</v>
      </c>
      <c r="I1164" s="582" t="str">
        <f>VLOOKUP(H1164,'9a-Typen vloeren'!$A$10:$B$40,2,FALSE)</f>
        <v>Sprayen/ conserveren</v>
      </c>
      <c r="J1164" s="584">
        <v>3.2</v>
      </c>
      <c r="K1164" s="433">
        <f t="shared" si="93"/>
        <v>0</v>
      </c>
      <c r="L1164" s="433">
        <f t="shared" si="94"/>
        <v>0</v>
      </c>
      <c r="M1164" s="433">
        <f t="shared" si="95"/>
        <v>0</v>
      </c>
      <c r="N1164" s="672"/>
      <c r="O1164" s="729">
        <f>IF(N1164="",0,N1164*K1164/'9b-Vloeronderhoud'!$F$4)</f>
        <v>0</v>
      </c>
      <c r="P1164" s="672"/>
      <c r="Q1164" s="729" t="e">
        <f>IF(O1164="",0,P1164*L1164/'9b-Vloeronderhoud'!$F$6)</f>
        <v>#DIV/0!</v>
      </c>
      <c r="R1164" s="449">
        <v>1</v>
      </c>
      <c r="S1164" s="672" t="s">
        <v>179</v>
      </c>
      <c r="T1164" s="161">
        <f t="shared" si="96"/>
        <v>0</v>
      </c>
      <c r="U1164" s="162">
        <f>IF(S1164="nio",0,IF(S1164&gt;0,VLOOKUP(G1164,'3-Productie normen'!A:K,VLOOKUP(S1164,'3-Productie normen'!L:N,3,FALSE),FALSE)))</f>
        <v>0</v>
      </c>
      <c r="V1164" s="162">
        <f>VLOOKUP(G1164,'3-Productie normen'!A:K,10,FALSE)</f>
        <v>5262.809993648526</v>
      </c>
      <c r="W1164" s="163">
        <f>VLOOKUP(G1164,'3-Productie normen'!A:K,11,FALSE)</f>
        <v>0</v>
      </c>
      <c r="X1164" s="163"/>
      <c r="Z1164" s="129">
        <f t="shared" si="97"/>
        <v>0</v>
      </c>
    </row>
    <row r="1165" spans="1:26" ht="14.1" customHeight="1">
      <c r="A1165" s="144">
        <v>1203</v>
      </c>
      <c r="B1165" s="485" t="s">
        <v>228</v>
      </c>
      <c r="C1165" s="159" t="s">
        <v>426</v>
      </c>
      <c r="D1165" s="132" t="s">
        <v>98</v>
      </c>
      <c r="E1165" s="702" t="s">
        <v>449</v>
      </c>
      <c r="F1165" s="126" t="s">
        <v>382</v>
      </c>
      <c r="G1165" s="460" t="s">
        <v>881</v>
      </c>
      <c r="H1165" s="516" t="s">
        <v>100</v>
      </c>
      <c r="I1165" s="582" t="str">
        <f>VLOOKUP(H1165,'9a-Typen vloeren'!$A$10:$B$40,2,FALSE)</f>
        <v>Sprayen/ conserveren</v>
      </c>
      <c r="J1165" s="584">
        <v>9.9</v>
      </c>
      <c r="K1165" s="433">
        <f t="shared" si="93"/>
        <v>0</v>
      </c>
      <c r="L1165" s="433">
        <f t="shared" si="94"/>
        <v>0</v>
      </c>
      <c r="M1165" s="433">
        <f t="shared" si="95"/>
        <v>0</v>
      </c>
      <c r="N1165" s="672"/>
      <c r="O1165" s="729">
        <f>IF(N1165="",0,N1165*K1165/'9b-Vloeronderhoud'!$F$4)</f>
        <v>0</v>
      </c>
      <c r="P1165" s="672"/>
      <c r="Q1165" s="729" t="e">
        <f>IF(O1165="",0,P1165*L1165/'9b-Vloeronderhoud'!$F$6)</f>
        <v>#DIV/0!</v>
      </c>
      <c r="R1165" s="449">
        <v>1</v>
      </c>
      <c r="S1165" s="672" t="s">
        <v>179</v>
      </c>
      <c r="T1165" s="161">
        <f t="shared" si="96"/>
        <v>0</v>
      </c>
      <c r="U1165" s="162">
        <f>IF(S1165="nio",0,IF(S1165&gt;0,VLOOKUP(G1165,'3-Productie normen'!A:K,VLOOKUP(S1165,'3-Productie normen'!L:N,3,FALSE),FALSE)))</f>
        <v>0</v>
      </c>
      <c r="V1165" s="162">
        <f>VLOOKUP(G1165,'3-Productie normen'!A:K,10,FALSE)</f>
        <v>5262.809993648526</v>
      </c>
      <c r="W1165" s="163">
        <f>VLOOKUP(G1165,'3-Productie normen'!A:K,11,FALSE)</f>
        <v>0</v>
      </c>
      <c r="X1165" s="163"/>
      <c r="Z1165" s="129">
        <f t="shared" si="97"/>
        <v>0</v>
      </c>
    </row>
    <row r="1166" spans="1:26" ht="14.1" customHeight="1">
      <c r="A1166" s="144">
        <v>1204</v>
      </c>
      <c r="B1166" s="485" t="s">
        <v>228</v>
      </c>
      <c r="C1166" s="159" t="s">
        <v>426</v>
      </c>
      <c r="D1166" s="132" t="s">
        <v>98</v>
      </c>
      <c r="E1166" s="702" t="s">
        <v>450</v>
      </c>
      <c r="F1166" s="126" t="s">
        <v>452</v>
      </c>
      <c r="G1166" s="460" t="s">
        <v>18</v>
      </c>
      <c r="H1166" s="534" t="s">
        <v>954</v>
      </c>
      <c r="I1166" s="582" t="str">
        <f>VLOOKUP(H1166,'9a-Typen vloeren'!$A$10:$B$40,2,FALSE)</f>
        <v>zie kwaliteitsontwerp</v>
      </c>
      <c r="J1166" s="584">
        <v>13.9</v>
      </c>
      <c r="K1166" s="433">
        <f t="shared" si="93"/>
        <v>0</v>
      </c>
      <c r="L1166" s="433">
        <f t="shared" si="94"/>
        <v>0</v>
      </c>
      <c r="M1166" s="433">
        <f t="shared" si="95"/>
        <v>0</v>
      </c>
      <c r="N1166" s="672"/>
      <c r="O1166" s="729">
        <f>IF(N1166="",0,N1166*K1166/'9b-Vloeronderhoud'!$F$4)</f>
        <v>0</v>
      </c>
      <c r="P1166" s="672"/>
      <c r="Q1166" s="729" t="e">
        <f>IF(O1166="",0,P1166*L1166/'9b-Vloeronderhoud'!$F$6)</f>
        <v>#DIV/0!</v>
      </c>
      <c r="R1166" s="449">
        <v>1</v>
      </c>
      <c r="S1166" s="672">
        <v>190</v>
      </c>
      <c r="T1166" s="161" t="e">
        <f t="shared" si="96"/>
        <v>#DIV/0!</v>
      </c>
      <c r="U1166" s="162">
        <f>IF(S1166="nio",0,IF(S1166&gt;0,VLOOKUP(G1166,'3-Productie normen'!A:K,VLOOKUP(S1166,'3-Productie normen'!L:N,3,FALSE),FALSE)))</f>
        <v>0</v>
      </c>
      <c r="V1166" s="162">
        <f>VLOOKUP(G1166,'3-Productie normen'!A:K,10,FALSE)</f>
        <v>1859.5880019121171</v>
      </c>
      <c r="W1166" s="163">
        <f>VLOOKUP(G1166,'3-Productie normen'!A:K,11,FALSE)</f>
        <v>0</v>
      </c>
      <c r="X1166" s="163"/>
      <c r="Z1166" s="129">
        <f t="shared" si="97"/>
        <v>2641</v>
      </c>
    </row>
    <row r="1167" spans="1:26" ht="14.1" customHeight="1">
      <c r="A1167" s="144">
        <v>1205</v>
      </c>
      <c r="B1167" s="485" t="s">
        <v>228</v>
      </c>
      <c r="C1167" s="159" t="s">
        <v>426</v>
      </c>
      <c r="D1167" s="132" t="s">
        <v>98</v>
      </c>
      <c r="E1167" s="702" t="s">
        <v>453</v>
      </c>
      <c r="F1167" s="126" t="s">
        <v>382</v>
      </c>
      <c r="G1167" s="460" t="s">
        <v>881</v>
      </c>
      <c r="H1167" s="516" t="s">
        <v>100</v>
      </c>
      <c r="I1167" s="582" t="str">
        <f>VLOOKUP(H1167,'9a-Typen vloeren'!$A$10:$B$40,2,FALSE)</f>
        <v>Sprayen/ conserveren</v>
      </c>
      <c r="J1167" s="584">
        <v>5.4</v>
      </c>
      <c r="K1167" s="433">
        <f t="shared" si="93"/>
        <v>0</v>
      </c>
      <c r="L1167" s="433">
        <f t="shared" si="94"/>
        <v>0</v>
      </c>
      <c r="M1167" s="433">
        <f t="shared" si="95"/>
        <v>0</v>
      </c>
      <c r="N1167" s="672"/>
      <c r="O1167" s="729">
        <f>IF(N1167="",0,N1167*K1167/'9b-Vloeronderhoud'!$F$4)</f>
        <v>0</v>
      </c>
      <c r="P1167" s="672"/>
      <c r="Q1167" s="729" t="e">
        <f>IF(O1167="",0,P1167*L1167/'9b-Vloeronderhoud'!$F$6)</f>
        <v>#DIV/0!</v>
      </c>
      <c r="R1167" s="449">
        <v>1</v>
      </c>
      <c r="S1167" s="672" t="s">
        <v>179</v>
      </c>
      <c r="T1167" s="161">
        <f t="shared" si="96"/>
        <v>0</v>
      </c>
      <c r="U1167" s="162">
        <f>IF(S1167="nio",0,IF(S1167&gt;0,VLOOKUP(G1167,'3-Productie normen'!A:K,VLOOKUP(S1167,'3-Productie normen'!L:N,3,FALSE),FALSE)))</f>
        <v>0</v>
      </c>
      <c r="V1167" s="162">
        <f>VLOOKUP(G1167,'3-Productie normen'!A:K,10,FALSE)</f>
        <v>5262.809993648526</v>
      </c>
      <c r="W1167" s="163">
        <f>VLOOKUP(G1167,'3-Productie normen'!A:K,11,FALSE)</f>
        <v>0</v>
      </c>
      <c r="X1167" s="163"/>
      <c r="Z1167" s="129">
        <f t="shared" si="97"/>
        <v>0</v>
      </c>
    </row>
    <row r="1168" spans="1:26" ht="14.1" customHeight="1">
      <c r="A1168" s="144">
        <v>1206</v>
      </c>
      <c r="B1168" s="485" t="s">
        <v>228</v>
      </c>
      <c r="C1168" s="159" t="s">
        <v>426</v>
      </c>
      <c r="D1168" s="132" t="s">
        <v>98</v>
      </c>
      <c r="E1168" s="702" t="s">
        <v>454</v>
      </c>
      <c r="F1168" s="126" t="s">
        <v>461</v>
      </c>
      <c r="G1168" s="122" t="s">
        <v>221</v>
      </c>
      <c r="H1168" s="303" t="s">
        <v>100</v>
      </c>
      <c r="I1168" s="582" t="str">
        <f>VLOOKUP(H1168,'9a-Typen vloeren'!$A$10:$B$40,2,FALSE)</f>
        <v>Sprayen/ conserveren</v>
      </c>
      <c r="J1168" s="433">
        <v>44.8</v>
      </c>
      <c r="K1168" s="433">
        <f t="shared" si="93"/>
        <v>44.8</v>
      </c>
      <c r="L1168" s="433">
        <f t="shared" si="94"/>
        <v>0</v>
      </c>
      <c r="M1168" s="433">
        <f t="shared" si="95"/>
        <v>0</v>
      </c>
      <c r="N1168" s="672"/>
      <c r="O1168" s="729">
        <f>IF(N1168="",0,N1168*K1168/'9b-Vloeronderhoud'!$F$4)</f>
        <v>0</v>
      </c>
      <c r="P1168" s="672"/>
      <c r="Q1168" s="729" t="e">
        <f>IF(O1168="",0,P1168*L1168/'9b-Vloeronderhoud'!$F$6)</f>
        <v>#DIV/0!</v>
      </c>
      <c r="R1168" s="449">
        <v>1</v>
      </c>
      <c r="S1168" s="688" t="s">
        <v>179</v>
      </c>
      <c r="T1168" s="161">
        <f t="shared" si="96"/>
        <v>0</v>
      </c>
      <c r="U1168" s="162">
        <f>IF(S1168="nio",0,IF(S1168&gt;0,VLOOKUP(G1168,'3-Productie normen'!A:K,VLOOKUP(S1168,'3-Productie normen'!L:N,3,FALSE),FALSE)))</f>
        <v>0</v>
      </c>
      <c r="V1168" s="162">
        <f>VLOOKUP(G1168,'3-Productie normen'!A:K,10,FALSE)</f>
        <v>16013.110036668773</v>
      </c>
      <c r="W1168" s="163">
        <f>VLOOKUP(G1168,'3-Productie normen'!A:K,11,FALSE)</f>
        <v>0</v>
      </c>
      <c r="X1168" s="163"/>
      <c r="Z1168" s="129">
        <f t="shared" si="97"/>
        <v>0</v>
      </c>
    </row>
    <row r="1169" spans="1:26" ht="14.1" customHeight="1">
      <c r="A1169" s="144">
        <v>1207</v>
      </c>
      <c r="B1169" s="485" t="s">
        <v>228</v>
      </c>
      <c r="C1169" s="159" t="s">
        <v>426</v>
      </c>
      <c r="D1169" s="132" t="s">
        <v>98</v>
      </c>
      <c r="E1169" s="702" t="s">
        <v>455</v>
      </c>
      <c r="F1169" s="126" t="s">
        <v>462</v>
      </c>
      <c r="G1169" s="460" t="s">
        <v>221</v>
      </c>
      <c r="H1169" s="303" t="s">
        <v>100</v>
      </c>
      <c r="I1169" s="582" t="str">
        <f>VLOOKUP(H1169,'9a-Typen vloeren'!$A$10:$B$40,2,FALSE)</f>
        <v>Sprayen/ conserveren</v>
      </c>
      <c r="J1169" s="433">
        <v>44.8</v>
      </c>
      <c r="K1169" s="433">
        <f t="shared" si="93"/>
        <v>44.8</v>
      </c>
      <c r="L1169" s="433">
        <f t="shared" si="94"/>
        <v>0</v>
      </c>
      <c r="M1169" s="433">
        <f t="shared" si="95"/>
        <v>0</v>
      </c>
      <c r="N1169" s="672"/>
      <c r="O1169" s="729">
        <f>IF(N1169="",0,N1169*K1169/'9b-Vloeronderhoud'!$F$4)</f>
        <v>0</v>
      </c>
      <c r="P1169" s="672"/>
      <c r="Q1169" s="729" t="e">
        <f>IF(O1169="",0,P1169*L1169/'9b-Vloeronderhoud'!$F$6)</f>
        <v>#DIV/0!</v>
      </c>
      <c r="R1169" s="449">
        <v>1</v>
      </c>
      <c r="S1169" s="688" t="s">
        <v>179</v>
      </c>
      <c r="T1169" s="161">
        <f t="shared" si="96"/>
        <v>0</v>
      </c>
      <c r="U1169" s="162">
        <f>IF(S1169="nio",0,IF(S1169&gt;0,VLOOKUP(G1169,'3-Productie normen'!A:K,VLOOKUP(S1169,'3-Productie normen'!L:N,3,FALSE),FALSE)))</f>
        <v>0</v>
      </c>
      <c r="V1169" s="162">
        <f>VLOOKUP(G1169,'3-Productie normen'!A:K,10,FALSE)</f>
        <v>16013.110036668773</v>
      </c>
      <c r="W1169" s="163">
        <f>VLOOKUP(G1169,'3-Productie normen'!A:K,11,FALSE)</f>
        <v>0</v>
      </c>
      <c r="X1169" s="163"/>
      <c r="Z1169" s="129">
        <f t="shared" si="97"/>
        <v>0</v>
      </c>
    </row>
    <row r="1170" spans="1:26" ht="14.1" customHeight="1">
      <c r="A1170" s="144">
        <v>1208</v>
      </c>
      <c r="B1170" s="485" t="s">
        <v>228</v>
      </c>
      <c r="C1170" s="159" t="s">
        <v>426</v>
      </c>
      <c r="D1170" s="132" t="s">
        <v>98</v>
      </c>
      <c r="E1170" s="702" t="s">
        <v>456</v>
      </c>
      <c r="F1170" s="126" t="s">
        <v>463</v>
      </c>
      <c r="G1170" s="122" t="s">
        <v>221</v>
      </c>
      <c r="H1170" s="303" t="s">
        <v>100</v>
      </c>
      <c r="I1170" s="582" t="str">
        <f>VLOOKUP(H1170,'9a-Typen vloeren'!$A$10:$B$40,2,FALSE)</f>
        <v>Sprayen/ conserveren</v>
      </c>
      <c r="J1170" s="433">
        <v>44.8</v>
      </c>
      <c r="K1170" s="433">
        <f t="shared" si="93"/>
        <v>44.8</v>
      </c>
      <c r="L1170" s="433">
        <f t="shared" si="94"/>
        <v>0</v>
      </c>
      <c r="M1170" s="433">
        <f t="shared" si="95"/>
        <v>0</v>
      </c>
      <c r="N1170" s="672"/>
      <c r="O1170" s="729">
        <f>IF(N1170="",0,N1170*K1170/'9b-Vloeronderhoud'!$F$4)</f>
        <v>0</v>
      </c>
      <c r="P1170" s="672"/>
      <c r="Q1170" s="729" t="e">
        <f>IF(O1170="",0,P1170*L1170/'9b-Vloeronderhoud'!$F$6)</f>
        <v>#DIV/0!</v>
      </c>
      <c r="R1170" s="449">
        <v>1</v>
      </c>
      <c r="S1170" s="672">
        <v>80</v>
      </c>
      <c r="T1170" s="161" t="e">
        <f t="shared" si="96"/>
        <v>#DIV/0!</v>
      </c>
      <c r="U1170" s="162">
        <f>IF(S1170="nio",0,IF(S1170&gt;0,VLOOKUP(G1170,'3-Productie normen'!A:K,VLOOKUP(S1170,'3-Productie normen'!L:N,3,FALSE),FALSE)))</f>
        <v>0</v>
      </c>
      <c r="V1170" s="162">
        <f>VLOOKUP(G1170,'3-Productie normen'!A:K,10,FALSE)</f>
        <v>16013.110036668773</v>
      </c>
      <c r="W1170" s="163">
        <f>VLOOKUP(G1170,'3-Productie normen'!A:K,11,FALSE)</f>
        <v>0</v>
      </c>
      <c r="X1170" s="163"/>
      <c r="Z1170" s="129">
        <f t="shared" si="97"/>
        <v>3584</v>
      </c>
    </row>
    <row r="1171" spans="1:26" ht="14.1" customHeight="1">
      <c r="A1171" s="144">
        <v>1209</v>
      </c>
      <c r="B1171" s="485" t="s">
        <v>228</v>
      </c>
      <c r="C1171" s="159" t="s">
        <v>426</v>
      </c>
      <c r="D1171" s="132" t="s">
        <v>98</v>
      </c>
      <c r="E1171" s="702" t="s">
        <v>457</v>
      </c>
      <c r="F1171" s="126" t="s">
        <v>464</v>
      </c>
      <c r="G1171" s="460" t="s">
        <v>221</v>
      </c>
      <c r="H1171" s="303" t="s">
        <v>100</v>
      </c>
      <c r="I1171" s="582" t="str">
        <f>VLOOKUP(H1171,'9a-Typen vloeren'!$A$10:$B$40,2,FALSE)</f>
        <v>Sprayen/ conserveren</v>
      </c>
      <c r="J1171" s="433">
        <v>44.8</v>
      </c>
      <c r="K1171" s="433">
        <f t="shared" si="93"/>
        <v>44.8</v>
      </c>
      <c r="L1171" s="433">
        <f t="shared" si="94"/>
        <v>0</v>
      </c>
      <c r="M1171" s="433">
        <f t="shared" si="95"/>
        <v>0</v>
      </c>
      <c r="N1171" s="672"/>
      <c r="O1171" s="729">
        <f>IF(N1171="",0,N1171*K1171/'9b-Vloeronderhoud'!$F$4)</f>
        <v>0</v>
      </c>
      <c r="P1171" s="672"/>
      <c r="Q1171" s="729" t="e">
        <f>IF(O1171="",0,P1171*L1171/'9b-Vloeronderhoud'!$F$6)</f>
        <v>#DIV/0!</v>
      </c>
      <c r="R1171" s="449">
        <v>1</v>
      </c>
      <c r="S1171" s="672">
        <v>80</v>
      </c>
      <c r="T1171" s="161" t="e">
        <f t="shared" si="96"/>
        <v>#DIV/0!</v>
      </c>
      <c r="U1171" s="162">
        <f>IF(S1171="nio",0,IF(S1171&gt;0,VLOOKUP(G1171,'3-Productie normen'!A:K,VLOOKUP(S1171,'3-Productie normen'!L:N,3,FALSE),FALSE)))</f>
        <v>0</v>
      </c>
      <c r="V1171" s="162">
        <f>VLOOKUP(G1171,'3-Productie normen'!A:K,10,FALSE)</f>
        <v>16013.110036668773</v>
      </c>
      <c r="W1171" s="163">
        <f>VLOOKUP(G1171,'3-Productie normen'!A:K,11,FALSE)</f>
        <v>0</v>
      </c>
      <c r="X1171" s="163"/>
      <c r="Z1171" s="129">
        <f t="shared" si="97"/>
        <v>3584</v>
      </c>
    </row>
    <row r="1172" spans="1:26" ht="14.1" customHeight="1">
      <c r="A1172" s="144">
        <v>1210</v>
      </c>
      <c r="B1172" s="485" t="s">
        <v>228</v>
      </c>
      <c r="C1172" s="159" t="s">
        <v>426</v>
      </c>
      <c r="D1172" s="132" t="s">
        <v>98</v>
      </c>
      <c r="E1172" s="702" t="s">
        <v>458</v>
      </c>
      <c r="F1172" s="126" t="s">
        <v>465</v>
      </c>
      <c r="G1172" s="546" t="s">
        <v>286</v>
      </c>
      <c r="H1172" s="303" t="s">
        <v>100</v>
      </c>
      <c r="I1172" s="582" t="str">
        <f>VLOOKUP(H1172,'9a-Typen vloeren'!$A$10:$B$40,2,FALSE)</f>
        <v>Sprayen/ conserveren</v>
      </c>
      <c r="J1172" s="433">
        <v>5.4</v>
      </c>
      <c r="K1172" s="433">
        <f t="shared" si="93"/>
        <v>5.4</v>
      </c>
      <c r="L1172" s="433">
        <f t="shared" si="94"/>
        <v>0</v>
      </c>
      <c r="M1172" s="433">
        <f t="shared" si="95"/>
        <v>0</v>
      </c>
      <c r="N1172" s="672">
        <v>2</v>
      </c>
      <c r="O1172" s="729" t="e">
        <f>IF(N1172="",0,N1172*K1172/'9b-Vloeronderhoud'!$F$4)</f>
        <v>#DIV/0!</v>
      </c>
      <c r="P1172" s="672"/>
      <c r="Q1172" s="729" t="e">
        <f>IF(O1172="",0,P1172*L1172/'9b-Vloeronderhoud'!$F$6)</f>
        <v>#DIV/0!</v>
      </c>
      <c r="R1172" s="449">
        <v>1</v>
      </c>
      <c r="S1172" s="672">
        <v>120</v>
      </c>
      <c r="T1172" s="161" t="e">
        <f t="shared" si="96"/>
        <v>#DIV/0!</v>
      </c>
      <c r="U1172" s="162">
        <f>IF(S1172="nio",0,IF(S1172&gt;0,VLOOKUP(G1172,'3-Productie normen'!A:K,VLOOKUP(S1172,'3-Productie normen'!L:N,3,FALSE),FALSE)))</f>
        <v>0</v>
      </c>
      <c r="V1172" s="162">
        <f>VLOOKUP(G1172,'3-Productie normen'!A:K,10,FALSE)</f>
        <v>6152.9500017547598</v>
      </c>
      <c r="W1172" s="163">
        <f>VLOOKUP(G1172,'3-Productie normen'!A:K,11,FALSE)</f>
        <v>0</v>
      </c>
      <c r="X1172" s="163"/>
      <c r="Z1172" s="129">
        <f t="shared" si="97"/>
        <v>648</v>
      </c>
    </row>
    <row r="1173" spans="1:26" ht="14.1" customHeight="1">
      <c r="A1173" s="144">
        <v>1211</v>
      </c>
      <c r="B1173" s="485" t="s">
        <v>228</v>
      </c>
      <c r="C1173" s="159" t="s">
        <v>426</v>
      </c>
      <c r="D1173" s="132" t="s">
        <v>98</v>
      </c>
      <c r="E1173" s="702" t="s">
        <v>459</v>
      </c>
      <c r="F1173" s="126" t="s">
        <v>465</v>
      </c>
      <c r="G1173" s="460" t="s">
        <v>286</v>
      </c>
      <c r="H1173" s="303" t="s">
        <v>100</v>
      </c>
      <c r="I1173" s="582" t="str">
        <f>VLOOKUP(H1173,'9a-Typen vloeren'!$A$10:$B$40,2,FALSE)</f>
        <v>Sprayen/ conserveren</v>
      </c>
      <c r="J1173" s="433">
        <v>5.4</v>
      </c>
      <c r="K1173" s="433">
        <f t="shared" si="93"/>
        <v>5.4</v>
      </c>
      <c r="L1173" s="433">
        <f t="shared" si="94"/>
        <v>0</v>
      </c>
      <c r="M1173" s="433">
        <f t="shared" si="95"/>
        <v>0</v>
      </c>
      <c r="N1173" s="672">
        <v>2</v>
      </c>
      <c r="O1173" s="729" t="e">
        <f>IF(N1173="",0,N1173*K1173/'9b-Vloeronderhoud'!$F$4)</f>
        <v>#DIV/0!</v>
      </c>
      <c r="P1173" s="672"/>
      <c r="Q1173" s="729" t="e">
        <f>IF(O1173="",0,P1173*L1173/'9b-Vloeronderhoud'!$F$6)</f>
        <v>#DIV/0!</v>
      </c>
      <c r="R1173" s="449">
        <v>1</v>
      </c>
      <c r="S1173" s="672">
        <v>120</v>
      </c>
      <c r="T1173" s="161" t="e">
        <f t="shared" si="96"/>
        <v>#DIV/0!</v>
      </c>
      <c r="U1173" s="162">
        <f>IF(S1173="nio",0,IF(S1173&gt;0,VLOOKUP(G1173,'3-Productie normen'!A:K,VLOOKUP(S1173,'3-Productie normen'!L:N,3,FALSE),FALSE)))</f>
        <v>0</v>
      </c>
      <c r="V1173" s="162">
        <f>VLOOKUP(G1173,'3-Productie normen'!A:K,10,FALSE)</f>
        <v>6152.9500017547598</v>
      </c>
      <c r="W1173" s="163">
        <f>VLOOKUP(G1173,'3-Productie normen'!A:K,11,FALSE)</f>
        <v>0</v>
      </c>
      <c r="X1173" s="163"/>
      <c r="Z1173" s="129">
        <f t="shared" si="97"/>
        <v>648</v>
      </c>
    </row>
    <row r="1174" spans="1:26" ht="14.1" customHeight="1">
      <c r="A1174" s="144">
        <v>1212</v>
      </c>
      <c r="B1174" s="485" t="s">
        <v>228</v>
      </c>
      <c r="C1174" s="159" t="s">
        <v>426</v>
      </c>
      <c r="D1174" s="132" t="s">
        <v>98</v>
      </c>
      <c r="E1174" s="702" t="s">
        <v>460</v>
      </c>
      <c r="F1174" s="126" t="s">
        <v>466</v>
      </c>
      <c r="G1174" s="460" t="s">
        <v>881</v>
      </c>
      <c r="H1174" s="303" t="s">
        <v>101</v>
      </c>
      <c r="I1174" s="582" t="str">
        <f>VLOOKUP(H1174,'9a-Typen vloeren'!$A$10:$B$40,2,FALSE)</f>
        <v>Schrobben</v>
      </c>
      <c r="J1174" s="433">
        <v>4.4000000000000004</v>
      </c>
      <c r="K1174" s="433">
        <f t="shared" si="93"/>
        <v>0</v>
      </c>
      <c r="L1174" s="433">
        <f t="shared" si="94"/>
        <v>0</v>
      </c>
      <c r="M1174" s="433">
        <f t="shared" si="95"/>
        <v>0</v>
      </c>
      <c r="N1174" s="672"/>
      <c r="O1174" s="729">
        <f>IF(N1174="",0,N1174*K1174/'9b-Vloeronderhoud'!$F$4)</f>
        <v>0</v>
      </c>
      <c r="P1174" s="672"/>
      <c r="Q1174" s="729" t="e">
        <f>IF(O1174="",0,P1174*L1174/'9b-Vloeronderhoud'!$F$6)</f>
        <v>#DIV/0!</v>
      </c>
      <c r="R1174" s="449">
        <v>1</v>
      </c>
      <c r="S1174" s="672" t="s">
        <v>179</v>
      </c>
      <c r="T1174" s="161">
        <f t="shared" si="96"/>
        <v>0</v>
      </c>
      <c r="U1174" s="162">
        <f>IF(S1174="nio",0,IF(S1174&gt;0,VLOOKUP(G1174,'3-Productie normen'!A:K,VLOOKUP(S1174,'3-Productie normen'!L:N,3,FALSE),FALSE)))</f>
        <v>0</v>
      </c>
      <c r="V1174" s="162">
        <f>VLOOKUP(G1174,'3-Productie normen'!A:K,10,FALSE)</f>
        <v>5262.809993648526</v>
      </c>
      <c r="W1174" s="163">
        <f>VLOOKUP(G1174,'3-Productie normen'!A:K,11,FALSE)</f>
        <v>0</v>
      </c>
      <c r="X1174" s="163"/>
      <c r="Z1174" s="129">
        <f t="shared" si="97"/>
        <v>0</v>
      </c>
    </row>
    <row r="1175" spans="1:26" ht="14.1" customHeight="1">
      <c r="A1175" s="144">
        <v>1213</v>
      </c>
      <c r="B1175" s="485" t="s">
        <v>235</v>
      </c>
      <c r="C1175" s="160" t="s">
        <v>515</v>
      </c>
      <c r="D1175" s="493" t="s">
        <v>98</v>
      </c>
      <c r="E1175" s="712" t="s">
        <v>295</v>
      </c>
      <c r="F1175" s="303" t="s">
        <v>283</v>
      </c>
      <c r="G1175" s="460" t="s">
        <v>881</v>
      </c>
      <c r="H1175" s="524" t="s">
        <v>375</v>
      </c>
      <c r="I1175" s="660" t="str">
        <f>VLOOKUP(H1175,'9a-Typen vloeren'!$A$10:$B$40,2,FALSE)</f>
        <v>n.v.t.</v>
      </c>
      <c r="J1175" s="595">
        <v>0</v>
      </c>
      <c r="K1175" s="433">
        <f t="shared" si="93"/>
        <v>0</v>
      </c>
      <c r="L1175" s="433">
        <f t="shared" si="94"/>
        <v>0</v>
      </c>
      <c r="M1175" s="433">
        <f t="shared" si="95"/>
        <v>0</v>
      </c>
      <c r="N1175" s="672"/>
      <c r="O1175" s="729">
        <f>IF(N1175="",0,N1175*K1175/'9b-Vloeronderhoud'!$F$4)</f>
        <v>0</v>
      </c>
      <c r="P1175" s="672"/>
      <c r="Q1175" s="729" t="e">
        <f>IF(O1175="",0,P1175*L1175/'9b-Vloeronderhoud'!$F$6)</f>
        <v>#DIV/0!</v>
      </c>
      <c r="R1175" s="449">
        <v>1</v>
      </c>
      <c r="S1175" s="732" t="s">
        <v>179</v>
      </c>
      <c r="T1175" s="161">
        <f t="shared" si="96"/>
        <v>0</v>
      </c>
      <c r="U1175" s="162">
        <f>IF(S1175="nio",0,IF(S1175&gt;0,VLOOKUP(G1175,'3-Productie normen'!A:K,VLOOKUP(S1175,'3-Productie normen'!L:N,3,FALSE),FALSE)))</f>
        <v>0</v>
      </c>
      <c r="V1175" s="162">
        <f>VLOOKUP(G1175,'3-Productie normen'!A:K,10,FALSE)</f>
        <v>5262.809993648526</v>
      </c>
      <c r="W1175" s="163">
        <f>VLOOKUP(G1175,'3-Productie normen'!A:K,11,FALSE)</f>
        <v>0</v>
      </c>
      <c r="X1175" s="163"/>
      <c r="Z1175" s="129">
        <f t="shared" si="97"/>
        <v>0</v>
      </c>
    </row>
    <row r="1176" spans="1:26" ht="14.1" customHeight="1">
      <c r="A1176" s="144">
        <v>1214</v>
      </c>
      <c r="B1176" s="485" t="s">
        <v>235</v>
      </c>
      <c r="C1176" s="160" t="s">
        <v>515</v>
      </c>
      <c r="D1176" s="493" t="s">
        <v>98</v>
      </c>
      <c r="E1176" s="712" t="s">
        <v>296</v>
      </c>
      <c r="F1176" s="492" t="s">
        <v>304</v>
      </c>
      <c r="G1176" s="460" t="s">
        <v>881</v>
      </c>
      <c r="H1176" s="524" t="s">
        <v>375</v>
      </c>
      <c r="I1176" s="660" t="str">
        <f>VLOOKUP(H1176,'9a-Typen vloeren'!$A$10:$B$40,2,FALSE)</f>
        <v>n.v.t.</v>
      </c>
      <c r="J1176" s="595">
        <v>0</v>
      </c>
      <c r="K1176" s="433">
        <f t="shared" si="93"/>
        <v>0</v>
      </c>
      <c r="L1176" s="433">
        <f t="shared" si="94"/>
        <v>0</v>
      </c>
      <c r="M1176" s="433">
        <f t="shared" si="95"/>
        <v>0</v>
      </c>
      <c r="N1176" s="672"/>
      <c r="O1176" s="729">
        <f>IF(N1176="",0,N1176*K1176/'9b-Vloeronderhoud'!$F$4)</f>
        <v>0</v>
      </c>
      <c r="P1176" s="672"/>
      <c r="Q1176" s="729" t="e">
        <f>IF(O1176="",0,P1176*L1176/'9b-Vloeronderhoud'!$F$6)</f>
        <v>#DIV/0!</v>
      </c>
      <c r="R1176" s="449">
        <v>1</v>
      </c>
      <c r="S1176" s="732" t="s">
        <v>179</v>
      </c>
      <c r="T1176" s="161">
        <f t="shared" si="96"/>
        <v>0</v>
      </c>
      <c r="U1176" s="162">
        <f>IF(S1176="nio",0,IF(S1176&gt;0,VLOOKUP(G1176,'3-Productie normen'!A:K,VLOOKUP(S1176,'3-Productie normen'!L:N,3,FALSE),FALSE)))</f>
        <v>0</v>
      </c>
      <c r="V1176" s="162">
        <f>VLOOKUP(G1176,'3-Productie normen'!A:K,10,FALSE)</f>
        <v>5262.809993648526</v>
      </c>
      <c r="W1176" s="163">
        <f>VLOOKUP(G1176,'3-Productie normen'!A:K,11,FALSE)</f>
        <v>0</v>
      </c>
      <c r="X1176" s="163"/>
      <c r="Z1176" s="129">
        <f t="shared" si="97"/>
        <v>0</v>
      </c>
    </row>
    <row r="1177" spans="1:26" ht="14.1" customHeight="1">
      <c r="A1177" s="144">
        <v>1215</v>
      </c>
      <c r="B1177" s="485" t="s">
        <v>235</v>
      </c>
      <c r="C1177" s="160" t="s">
        <v>515</v>
      </c>
      <c r="D1177" s="493" t="s">
        <v>98</v>
      </c>
      <c r="E1177" s="712" t="s">
        <v>298</v>
      </c>
      <c r="F1177" s="492" t="s">
        <v>302</v>
      </c>
      <c r="G1177" s="460" t="s">
        <v>881</v>
      </c>
      <c r="H1177" s="524" t="s">
        <v>375</v>
      </c>
      <c r="I1177" s="660" t="str">
        <f>VLOOKUP(H1177,'9a-Typen vloeren'!$A$10:$B$40,2,FALSE)</f>
        <v>n.v.t.</v>
      </c>
      <c r="J1177" s="595">
        <v>0</v>
      </c>
      <c r="K1177" s="433">
        <f t="shared" si="93"/>
        <v>0</v>
      </c>
      <c r="L1177" s="433">
        <f t="shared" si="94"/>
        <v>0</v>
      </c>
      <c r="M1177" s="433">
        <f t="shared" si="95"/>
        <v>0</v>
      </c>
      <c r="N1177" s="672"/>
      <c r="O1177" s="729">
        <f>IF(N1177="",0,N1177*K1177/'9b-Vloeronderhoud'!$F$4)</f>
        <v>0</v>
      </c>
      <c r="P1177" s="672"/>
      <c r="Q1177" s="729" t="e">
        <f>IF(O1177="",0,P1177*L1177/'9b-Vloeronderhoud'!$F$6)</f>
        <v>#DIV/0!</v>
      </c>
      <c r="R1177" s="449">
        <v>1</v>
      </c>
      <c r="S1177" s="732" t="s">
        <v>179</v>
      </c>
      <c r="T1177" s="161">
        <f t="shared" si="96"/>
        <v>0</v>
      </c>
      <c r="U1177" s="162">
        <f>IF(S1177="nio",0,IF(S1177&gt;0,VLOOKUP(G1177,'3-Productie normen'!A:K,VLOOKUP(S1177,'3-Productie normen'!L:N,3,FALSE),FALSE)))</f>
        <v>0</v>
      </c>
      <c r="V1177" s="162">
        <f>VLOOKUP(G1177,'3-Productie normen'!A:K,10,FALSE)</f>
        <v>5262.809993648526</v>
      </c>
      <c r="W1177" s="163">
        <f>VLOOKUP(G1177,'3-Productie normen'!A:K,11,FALSE)</f>
        <v>0</v>
      </c>
      <c r="X1177" s="163"/>
      <c r="Z1177" s="129">
        <f t="shared" si="97"/>
        <v>0</v>
      </c>
    </row>
    <row r="1178" spans="1:26" ht="14.1" customHeight="1">
      <c r="A1178" s="144">
        <v>1216</v>
      </c>
      <c r="B1178" s="485" t="s">
        <v>235</v>
      </c>
      <c r="C1178" s="160" t="s">
        <v>515</v>
      </c>
      <c r="D1178" s="493" t="s">
        <v>98</v>
      </c>
      <c r="E1178" s="717" t="s">
        <v>301</v>
      </c>
      <c r="F1178" s="677" t="s">
        <v>516</v>
      </c>
      <c r="G1178" s="460" t="s">
        <v>881</v>
      </c>
      <c r="H1178" s="742" t="s">
        <v>375</v>
      </c>
      <c r="I1178" s="660" t="str">
        <f>VLOOKUP(H1178,'9a-Typen vloeren'!$A$10:$B$40,2,FALSE)</f>
        <v>n.v.t.</v>
      </c>
      <c r="J1178" s="743">
        <v>0</v>
      </c>
      <c r="K1178" s="433">
        <f t="shared" si="93"/>
        <v>0</v>
      </c>
      <c r="L1178" s="433">
        <f t="shared" si="94"/>
        <v>0</v>
      </c>
      <c r="M1178" s="433">
        <f t="shared" si="95"/>
        <v>0</v>
      </c>
      <c r="N1178" s="672"/>
      <c r="O1178" s="729">
        <f>IF(N1178="",0,N1178*K1178/'9b-Vloeronderhoud'!$F$4)</f>
        <v>0</v>
      </c>
      <c r="P1178" s="672"/>
      <c r="Q1178" s="729" t="e">
        <f>IF(O1178="",0,P1178*L1178/'9b-Vloeronderhoud'!$F$6)</f>
        <v>#DIV/0!</v>
      </c>
      <c r="R1178" s="449">
        <v>1</v>
      </c>
      <c r="S1178" s="732" t="s">
        <v>179</v>
      </c>
      <c r="T1178" s="161">
        <f t="shared" si="96"/>
        <v>0</v>
      </c>
      <c r="U1178" s="162">
        <f>IF(S1178="nio",0,IF(S1178&gt;0,VLOOKUP(G1178,'3-Productie normen'!A:K,VLOOKUP(S1178,'3-Productie normen'!L:N,3,FALSE),FALSE)))</f>
        <v>0</v>
      </c>
      <c r="V1178" s="162">
        <f>VLOOKUP(G1178,'3-Productie normen'!A:K,10,FALSE)</f>
        <v>5262.809993648526</v>
      </c>
      <c r="W1178" s="163">
        <f>VLOOKUP(G1178,'3-Productie normen'!A:K,11,FALSE)</f>
        <v>0</v>
      </c>
      <c r="X1178" s="163"/>
      <c r="Z1178" s="129">
        <f t="shared" si="97"/>
        <v>0</v>
      </c>
    </row>
    <row r="1179" spans="1:26" ht="14.1" customHeight="1">
      <c r="A1179" s="144">
        <v>1217</v>
      </c>
      <c r="B1179" s="485" t="s">
        <v>235</v>
      </c>
      <c r="C1179" s="160" t="s">
        <v>515</v>
      </c>
      <c r="D1179" s="493" t="s">
        <v>98</v>
      </c>
      <c r="E1179" s="717" t="s">
        <v>303</v>
      </c>
      <c r="F1179" s="677" t="s">
        <v>834</v>
      </c>
      <c r="G1179" s="460" t="s">
        <v>881</v>
      </c>
      <c r="H1179" s="742" t="s">
        <v>375</v>
      </c>
      <c r="I1179" s="660" t="str">
        <f>VLOOKUP(H1179,'9a-Typen vloeren'!$A$10:$B$40,2,FALSE)</f>
        <v>n.v.t.</v>
      </c>
      <c r="J1179" s="743">
        <v>0</v>
      </c>
      <c r="K1179" s="433">
        <f t="shared" si="93"/>
        <v>0</v>
      </c>
      <c r="L1179" s="433">
        <f t="shared" si="94"/>
        <v>0</v>
      </c>
      <c r="M1179" s="433">
        <f t="shared" si="95"/>
        <v>0</v>
      </c>
      <c r="N1179" s="672"/>
      <c r="O1179" s="729">
        <f>IF(N1179="",0,N1179*K1179/'9b-Vloeronderhoud'!$F$4)</f>
        <v>0</v>
      </c>
      <c r="P1179" s="672"/>
      <c r="Q1179" s="729" t="e">
        <f>IF(O1179="",0,P1179*L1179/'9b-Vloeronderhoud'!$F$6)</f>
        <v>#DIV/0!</v>
      </c>
      <c r="R1179" s="449">
        <v>1</v>
      </c>
      <c r="S1179" s="732" t="s">
        <v>179</v>
      </c>
      <c r="T1179" s="161">
        <f t="shared" si="96"/>
        <v>0</v>
      </c>
      <c r="U1179" s="162">
        <f>IF(S1179="nio",0,IF(S1179&gt;0,VLOOKUP(G1179,'3-Productie normen'!A:K,VLOOKUP(S1179,'3-Productie normen'!L:N,3,FALSE),FALSE)))</f>
        <v>0</v>
      </c>
      <c r="V1179" s="162">
        <f>VLOOKUP(G1179,'3-Productie normen'!A:K,10,FALSE)</f>
        <v>5262.809993648526</v>
      </c>
      <c r="W1179" s="163">
        <f>VLOOKUP(G1179,'3-Productie normen'!A:K,11,FALSE)</f>
        <v>0</v>
      </c>
      <c r="X1179" s="163"/>
      <c r="Z1179" s="129">
        <f t="shared" si="97"/>
        <v>0</v>
      </c>
    </row>
    <row r="1180" spans="1:26" ht="14.1" customHeight="1">
      <c r="A1180" s="144">
        <v>1218</v>
      </c>
      <c r="B1180" s="485" t="s">
        <v>235</v>
      </c>
      <c r="C1180" s="160" t="s">
        <v>515</v>
      </c>
      <c r="D1180" s="493" t="s">
        <v>98</v>
      </c>
      <c r="E1180" s="717" t="s">
        <v>305</v>
      </c>
      <c r="F1180" s="677" t="s">
        <v>284</v>
      </c>
      <c r="G1180" s="460" t="s">
        <v>881</v>
      </c>
      <c r="H1180" s="742" t="s">
        <v>375</v>
      </c>
      <c r="I1180" s="660" t="str">
        <f>VLOOKUP(H1180,'9a-Typen vloeren'!$A$10:$B$40,2,FALSE)</f>
        <v>n.v.t.</v>
      </c>
      <c r="J1180" s="743">
        <v>0</v>
      </c>
      <c r="K1180" s="433">
        <f t="shared" si="93"/>
        <v>0</v>
      </c>
      <c r="L1180" s="433">
        <f t="shared" si="94"/>
        <v>0</v>
      </c>
      <c r="M1180" s="433">
        <f t="shared" si="95"/>
        <v>0</v>
      </c>
      <c r="N1180" s="672"/>
      <c r="O1180" s="729">
        <f>IF(N1180="",0,N1180*K1180/'9b-Vloeronderhoud'!$F$4)</f>
        <v>0</v>
      </c>
      <c r="P1180" s="672"/>
      <c r="Q1180" s="729" t="e">
        <f>IF(O1180="",0,P1180*L1180/'9b-Vloeronderhoud'!$F$6)</f>
        <v>#DIV/0!</v>
      </c>
      <c r="R1180" s="449">
        <v>1</v>
      </c>
      <c r="S1180" s="732" t="s">
        <v>179</v>
      </c>
      <c r="T1180" s="161">
        <f t="shared" si="96"/>
        <v>0</v>
      </c>
      <c r="U1180" s="162">
        <f>IF(S1180="nio",0,IF(S1180&gt;0,VLOOKUP(G1180,'3-Productie normen'!A:K,VLOOKUP(S1180,'3-Productie normen'!L:N,3,FALSE),FALSE)))</f>
        <v>0</v>
      </c>
      <c r="V1180" s="162">
        <f>VLOOKUP(G1180,'3-Productie normen'!A:K,10,FALSE)</f>
        <v>5262.809993648526</v>
      </c>
      <c r="W1180" s="163">
        <f>VLOOKUP(G1180,'3-Productie normen'!A:K,11,FALSE)</f>
        <v>0</v>
      </c>
      <c r="X1180" s="163"/>
      <c r="Z1180" s="129">
        <f t="shared" si="97"/>
        <v>0</v>
      </c>
    </row>
    <row r="1181" spans="1:26" ht="14.1" customHeight="1">
      <c r="A1181" s="144">
        <v>1219</v>
      </c>
      <c r="B1181" s="485" t="s">
        <v>235</v>
      </c>
      <c r="C1181" s="160" t="s">
        <v>515</v>
      </c>
      <c r="D1181" s="493" t="s">
        <v>98</v>
      </c>
      <c r="E1181" s="717" t="s">
        <v>306</v>
      </c>
      <c r="F1181" s="677" t="s">
        <v>302</v>
      </c>
      <c r="G1181" s="460" t="s">
        <v>881</v>
      </c>
      <c r="H1181" s="742" t="s">
        <v>375</v>
      </c>
      <c r="I1181" s="660" t="str">
        <f>VLOOKUP(H1181,'9a-Typen vloeren'!$A$10:$B$40,2,FALSE)</f>
        <v>n.v.t.</v>
      </c>
      <c r="J1181" s="743">
        <v>0</v>
      </c>
      <c r="K1181" s="433">
        <f t="shared" si="93"/>
        <v>0</v>
      </c>
      <c r="L1181" s="433">
        <f t="shared" si="94"/>
        <v>0</v>
      </c>
      <c r="M1181" s="433">
        <f t="shared" si="95"/>
        <v>0</v>
      </c>
      <c r="N1181" s="672"/>
      <c r="O1181" s="729">
        <f>IF(N1181="",0,N1181*K1181/'9b-Vloeronderhoud'!$F$4)</f>
        <v>0</v>
      </c>
      <c r="P1181" s="672"/>
      <c r="Q1181" s="729" t="e">
        <f>IF(O1181="",0,P1181*L1181/'9b-Vloeronderhoud'!$F$6)</f>
        <v>#DIV/0!</v>
      </c>
      <c r="R1181" s="449">
        <v>1</v>
      </c>
      <c r="S1181" s="732" t="s">
        <v>179</v>
      </c>
      <c r="T1181" s="161">
        <f t="shared" si="96"/>
        <v>0</v>
      </c>
      <c r="U1181" s="162">
        <f>IF(S1181="nio",0,IF(S1181&gt;0,VLOOKUP(G1181,'3-Productie normen'!A:K,VLOOKUP(S1181,'3-Productie normen'!L:N,3,FALSE),FALSE)))</f>
        <v>0</v>
      </c>
      <c r="V1181" s="162">
        <f>VLOOKUP(G1181,'3-Productie normen'!A:K,10,FALSE)</f>
        <v>5262.809993648526</v>
      </c>
      <c r="W1181" s="163">
        <f>VLOOKUP(G1181,'3-Productie normen'!A:K,11,FALSE)</f>
        <v>0</v>
      </c>
      <c r="X1181" s="163"/>
      <c r="Z1181" s="129">
        <f t="shared" si="97"/>
        <v>0</v>
      </c>
    </row>
    <row r="1182" spans="1:26" ht="14.1" customHeight="1">
      <c r="A1182" s="144">
        <v>1220</v>
      </c>
      <c r="B1182" s="485" t="s">
        <v>235</v>
      </c>
      <c r="C1182" s="160" t="s">
        <v>515</v>
      </c>
      <c r="D1182" s="493" t="s">
        <v>98</v>
      </c>
      <c r="E1182" s="717" t="s">
        <v>307</v>
      </c>
      <c r="F1182" s="677" t="s">
        <v>834</v>
      </c>
      <c r="G1182" s="460" t="s">
        <v>881</v>
      </c>
      <c r="H1182" s="742" t="s">
        <v>375</v>
      </c>
      <c r="I1182" s="660" t="str">
        <f>VLOOKUP(H1182,'9a-Typen vloeren'!$A$10:$B$40,2,FALSE)</f>
        <v>n.v.t.</v>
      </c>
      <c r="J1182" s="743">
        <v>0</v>
      </c>
      <c r="K1182" s="433">
        <f t="shared" si="93"/>
        <v>0</v>
      </c>
      <c r="L1182" s="433">
        <f t="shared" si="94"/>
        <v>0</v>
      </c>
      <c r="M1182" s="433">
        <f t="shared" si="95"/>
        <v>0</v>
      </c>
      <c r="N1182" s="672"/>
      <c r="O1182" s="729">
        <f>IF(N1182="",0,N1182*K1182/'9b-Vloeronderhoud'!$F$4)</f>
        <v>0</v>
      </c>
      <c r="P1182" s="672"/>
      <c r="Q1182" s="729" t="e">
        <f>IF(O1182="",0,P1182*L1182/'9b-Vloeronderhoud'!$F$6)</f>
        <v>#DIV/0!</v>
      </c>
      <c r="R1182" s="449">
        <v>1</v>
      </c>
      <c r="S1182" s="732" t="s">
        <v>179</v>
      </c>
      <c r="T1182" s="161">
        <f t="shared" si="96"/>
        <v>0</v>
      </c>
      <c r="U1182" s="162">
        <f>IF(S1182="nio",0,IF(S1182&gt;0,VLOOKUP(G1182,'3-Productie normen'!A:K,VLOOKUP(S1182,'3-Productie normen'!L:N,3,FALSE),FALSE)))</f>
        <v>0</v>
      </c>
      <c r="V1182" s="162">
        <f>VLOOKUP(G1182,'3-Productie normen'!A:K,10,FALSE)</f>
        <v>5262.809993648526</v>
      </c>
      <c r="W1182" s="163">
        <f>VLOOKUP(G1182,'3-Productie normen'!A:K,11,FALSE)</f>
        <v>0</v>
      </c>
      <c r="X1182" s="163"/>
      <c r="Z1182" s="129">
        <f t="shared" si="97"/>
        <v>0</v>
      </c>
    </row>
    <row r="1183" spans="1:26" ht="14.1" customHeight="1">
      <c r="A1183" s="144">
        <v>1221</v>
      </c>
      <c r="B1183" s="485" t="s">
        <v>235</v>
      </c>
      <c r="C1183" s="160" t="s">
        <v>515</v>
      </c>
      <c r="D1183" s="493" t="s">
        <v>98</v>
      </c>
      <c r="E1183" s="717" t="s">
        <v>309</v>
      </c>
      <c r="F1183" s="677" t="s">
        <v>341</v>
      </c>
      <c r="G1183" s="460" t="s">
        <v>881</v>
      </c>
      <c r="H1183" s="742" t="s">
        <v>375</v>
      </c>
      <c r="I1183" s="660" t="str">
        <f>VLOOKUP(H1183,'9a-Typen vloeren'!$A$10:$B$40,2,FALSE)</f>
        <v>n.v.t.</v>
      </c>
      <c r="J1183" s="743">
        <v>0</v>
      </c>
      <c r="K1183" s="433">
        <f t="shared" si="93"/>
        <v>0</v>
      </c>
      <c r="L1183" s="433">
        <f t="shared" si="94"/>
        <v>0</v>
      </c>
      <c r="M1183" s="433">
        <f t="shared" si="95"/>
        <v>0</v>
      </c>
      <c r="N1183" s="672"/>
      <c r="O1183" s="729">
        <f>IF(N1183="",0,N1183*K1183/'9b-Vloeronderhoud'!$F$4)</f>
        <v>0</v>
      </c>
      <c r="P1183" s="672"/>
      <c r="Q1183" s="729" t="e">
        <f>IF(O1183="",0,P1183*L1183/'9b-Vloeronderhoud'!$F$6)</f>
        <v>#DIV/0!</v>
      </c>
      <c r="R1183" s="449">
        <v>1</v>
      </c>
      <c r="S1183" s="732" t="s">
        <v>179</v>
      </c>
      <c r="T1183" s="161">
        <f t="shared" si="96"/>
        <v>0</v>
      </c>
      <c r="U1183" s="162">
        <f>IF(S1183="nio",0,IF(S1183&gt;0,VLOOKUP(G1183,'3-Productie normen'!A:K,VLOOKUP(S1183,'3-Productie normen'!L:N,3,FALSE),FALSE)))</f>
        <v>0</v>
      </c>
      <c r="V1183" s="162">
        <f>VLOOKUP(G1183,'3-Productie normen'!A:K,10,FALSE)</f>
        <v>5262.809993648526</v>
      </c>
      <c r="W1183" s="163">
        <f>VLOOKUP(G1183,'3-Productie normen'!A:K,11,FALSE)</f>
        <v>0</v>
      </c>
      <c r="X1183" s="163"/>
      <c r="Z1183" s="129">
        <f t="shared" si="97"/>
        <v>0</v>
      </c>
    </row>
    <row r="1184" spans="1:26" ht="14.1" customHeight="1">
      <c r="A1184" s="144">
        <v>1222</v>
      </c>
      <c r="B1184" s="485" t="s">
        <v>235</v>
      </c>
      <c r="C1184" s="160" t="s">
        <v>515</v>
      </c>
      <c r="D1184" s="493" t="s">
        <v>98</v>
      </c>
      <c r="E1184" s="717" t="s">
        <v>311</v>
      </c>
      <c r="F1184" s="677" t="s">
        <v>282</v>
      </c>
      <c r="G1184" s="460" t="s">
        <v>881</v>
      </c>
      <c r="H1184" s="742" t="s">
        <v>375</v>
      </c>
      <c r="I1184" s="660" t="str">
        <f>VLOOKUP(H1184,'9a-Typen vloeren'!$A$10:$B$40,2,FALSE)</f>
        <v>n.v.t.</v>
      </c>
      <c r="J1184" s="743">
        <v>0</v>
      </c>
      <c r="K1184" s="433">
        <f t="shared" si="93"/>
        <v>0</v>
      </c>
      <c r="L1184" s="433">
        <f t="shared" si="94"/>
        <v>0</v>
      </c>
      <c r="M1184" s="433">
        <f t="shared" si="95"/>
        <v>0</v>
      </c>
      <c r="N1184" s="672"/>
      <c r="O1184" s="729">
        <f>IF(N1184="",0,N1184*K1184/'9b-Vloeronderhoud'!$F$4)</f>
        <v>0</v>
      </c>
      <c r="P1184" s="672"/>
      <c r="Q1184" s="729" t="e">
        <f>IF(O1184="",0,P1184*L1184/'9b-Vloeronderhoud'!$F$6)</f>
        <v>#DIV/0!</v>
      </c>
      <c r="R1184" s="449">
        <v>1</v>
      </c>
      <c r="S1184" s="672" t="s">
        <v>179</v>
      </c>
      <c r="T1184" s="161">
        <f t="shared" si="96"/>
        <v>0</v>
      </c>
      <c r="U1184" s="162">
        <f>IF(S1184="nio",0,IF(S1184&gt;0,VLOOKUP(G1184,'3-Productie normen'!A:K,VLOOKUP(S1184,'3-Productie normen'!L:N,3,FALSE),FALSE)))</f>
        <v>0</v>
      </c>
      <c r="V1184" s="162">
        <f>VLOOKUP(G1184,'3-Productie normen'!A:K,10,FALSE)</f>
        <v>5262.809993648526</v>
      </c>
      <c r="W1184" s="163">
        <f>VLOOKUP(G1184,'3-Productie normen'!A:K,11,FALSE)</f>
        <v>0</v>
      </c>
      <c r="X1184" s="163"/>
      <c r="Z1184" s="129">
        <f t="shared" si="97"/>
        <v>0</v>
      </c>
    </row>
    <row r="1185" spans="1:26" ht="14.1" customHeight="1">
      <c r="A1185" s="144">
        <v>1223</v>
      </c>
      <c r="B1185" s="485" t="s">
        <v>235</v>
      </c>
      <c r="C1185" s="160" t="s">
        <v>515</v>
      </c>
      <c r="D1185" s="493" t="s">
        <v>98</v>
      </c>
      <c r="E1185" s="717" t="s">
        <v>312</v>
      </c>
      <c r="F1185" s="677" t="s">
        <v>282</v>
      </c>
      <c r="G1185" s="460" t="s">
        <v>881</v>
      </c>
      <c r="H1185" s="742" t="s">
        <v>375</v>
      </c>
      <c r="I1185" s="660" t="str">
        <f>VLOOKUP(H1185,'9a-Typen vloeren'!$A$10:$B$40,2,FALSE)</f>
        <v>n.v.t.</v>
      </c>
      <c r="J1185" s="743">
        <v>0</v>
      </c>
      <c r="K1185" s="433">
        <f t="shared" si="93"/>
        <v>0</v>
      </c>
      <c r="L1185" s="433">
        <f t="shared" si="94"/>
        <v>0</v>
      </c>
      <c r="M1185" s="433">
        <f t="shared" si="95"/>
        <v>0</v>
      </c>
      <c r="N1185" s="672"/>
      <c r="O1185" s="729">
        <f>IF(N1185="",0,N1185*K1185/'9b-Vloeronderhoud'!$F$4)</f>
        <v>0</v>
      </c>
      <c r="P1185" s="672"/>
      <c r="Q1185" s="729" t="e">
        <f>IF(O1185="",0,P1185*L1185/'9b-Vloeronderhoud'!$F$6)</f>
        <v>#DIV/0!</v>
      </c>
      <c r="R1185" s="449">
        <v>1</v>
      </c>
      <c r="S1185" s="672" t="s">
        <v>179</v>
      </c>
      <c r="T1185" s="161">
        <f t="shared" si="96"/>
        <v>0</v>
      </c>
      <c r="U1185" s="162">
        <f>IF(S1185="nio",0,IF(S1185&gt;0,VLOOKUP(G1185,'3-Productie normen'!A:K,VLOOKUP(S1185,'3-Productie normen'!L:N,3,FALSE),FALSE)))</f>
        <v>0</v>
      </c>
      <c r="V1185" s="162">
        <f>VLOOKUP(G1185,'3-Productie normen'!A:K,10,FALSE)</f>
        <v>5262.809993648526</v>
      </c>
      <c r="W1185" s="163">
        <f>VLOOKUP(G1185,'3-Productie normen'!A:K,11,FALSE)</f>
        <v>0</v>
      </c>
      <c r="X1185" s="163"/>
      <c r="Z1185" s="129">
        <f t="shared" si="97"/>
        <v>0</v>
      </c>
    </row>
    <row r="1186" spans="1:26" ht="14.1" customHeight="1">
      <c r="A1186" s="144">
        <v>1224</v>
      </c>
      <c r="B1186" s="485" t="s">
        <v>235</v>
      </c>
      <c r="C1186" s="160" t="s">
        <v>515</v>
      </c>
      <c r="D1186" s="493" t="s">
        <v>98</v>
      </c>
      <c r="E1186" s="717" t="s">
        <v>518</v>
      </c>
      <c r="F1186" s="677" t="s">
        <v>519</v>
      </c>
      <c r="G1186" s="460" t="s">
        <v>881</v>
      </c>
      <c r="H1186" s="742" t="s">
        <v>375</v>
      </c>
      <c r="I1186" s="660" t="str">
        <f>VLOOKUP(H1186,'9a-Typen vloeren'!$A$10:$B$40,2,FALSE)</f>
        <v>n.v.t.</v>
      </c>
      <c r="J1186" s="743">
        <v>0</v>
      </c>
      <c r="K1186" s="433">
        <f t="shared" si="93"/>
        <v>0</v>
      </c>
      <c r="L1186" s="433">
        <f t="shared" si="94"/>
        <v>0</v>
      </c>
      <c r="M1186" s="433">
        <f t="shared" si="95"/>
        <v>0</v>
      </c>
      <c r="N1186" s="672"/>
      <c r="O1186" s="729">
        <f>IF(N1186="",0,N1186*K1186/'9b-Vloeronderhoud'!$F$4)</f>
        <v>0</v>
      </c>
      <c r="P1186" s="672"/>
      <c r="Q1186" s="729" t="e">
        <f>IF(O1186="",0,P1186*L1186/'9b-Vloeronderhoud'!$F$6)</f>
        <v>#DIV/0!</v>
      </c>
      <c r="R1186" s="449">
        <v>1</v>
      </c>
      <c r="S1186" s="732" t="s">
        <v>179</v>
      </c>
      <c r="T1186" s="161">
        <f t="shared" si="96"/>
        <v>0</v>
      </c>
      <c r="U1186" s="162">
        <f>IF(S1186="nio",0,IF(S1186&gt;0,VLOOKUP(G1186,'3-Productie normen'!A:K,VLOOKUP(S1186,'3-Productie normen'!L:N,3,FALSE),FALSE)))</f>
        <v>0</v>
      </c>
      <c r="V1186" s="162">
        <f>VLOOKUP(G1186,'3-Productie normen'!A:K,10,FALSE)</f>
        <v>5262.809993648526</v>
      </c>
      <c r="W1186" s="163">
        <f>VLOOKUP(G1186,'3-Productie normen'!A:K,11,FALSE)</f>
        <v>0</v>
      </c>
      <c r="X1186" s="163"/>
      <c r="Z1186" s="129">
        <f t="shared" si="97"/>
        <v>0</v>
      </c>
    </row>
    <row r="1187" spans="1:26" ht="14.1" customHeight="1">
      <c r="A1187" s="144">
        <v>1225</v>
      </c>
      <c r="B1187" s="485" t="s">
        <v>235</v>
      </c>
      <c r="C1187" s="160" t="s">
        <v>515</v>
      </c>
      <c r="D1187" s="493" t="s">
        <v>98</v>
      </c>
      <c r="E1187" s="717" t="s">
        <v>520</v>
      </c>
      <c r="F1187" s="677" t="s">
        <v>290</v>
      </c>
      <c r="G1187" s="460" t="s">
        <v>881</v>
      </c>
      <c r="H1187" s="742" t="s">
        <v>375</v>
      </c>
      <c r="I1187" s="660" t="str">
        <f>VLOOKUP(H1187,'9a-Typen vloeren'!$A$10:$B$40,2,FALSE)</f>
        <v>n.v.t.</v>
      </c>
      <c r="J1187" s="743">
        <v>0</v>
      </c>
      <c r="K1187" s="433">
        <f t="shared" si="93"/>
        <v>0</v>
      </c>
      <c r="L1187" s="433">
        <f t="shared" si="94"/>
        <v>0</v>
      </c>
      <c r="M1187" s="433">
        <f t="shared" si="95"/>
        <v>0</v>
      </c>
      <c r="N1187" s="672"/>
      <c r="O1187" s="729">
        <f>IF(N1187="",0,N1187*K1187/'9b-Vloeronderhoud'!$F$4)</f>
        <v>0</v>
      </c>
      <c r="P1187" s="672"/>
      <c r="Q1187" s="729" t="e">
        <f>IF(O1187="",0,P1187*L1187/'9b-Vloeronderhoud'!$F$6)</f>
        <v>#DIV/0!</v>
      </c>
      <c r="R1187" s="449">
        <v>1</v>
      </c>
      <c r="S1187" s="732" t="s">
        <v>179</v>
      </c>
      <c r="T1187" s="161">
        <f t="shared" si="96"/>
        <v>0</v>
      </c>
      <c r="U1187" s="162">
        <f>IF(S1187="nio",0,IF(S1187&gt;0,VLOOKUP(G1187,'3-Productie normen'!A:K,VLOOKUP(S1187,'3-Productie normen'!L:N,3,FALSE),FALSE)))</f>
        <v>0</v>
      </c>
      <c r="V1187" s="162">
        <f>VLOOKUP(G1187,'3-Productie normen'!A:K,10,FALSE)</f>
        <v>5262.809993648526</v>
      </c>
      <c r="W1187" s="163">
        <f>VLOOKUP(G1187,'3-Productie normen'!A:K,11,FALSE)</f>
        <v>0</v>
      </c>
      <c r="X1187" s="163"/>
      <c r="Z1187" s="129">
        <f t="shared" si="97"/>
        <v>0</v>
      </c>
    </row>
    <row r="1188" spans="1:26" ht="14.1" customHeight="1">
      <c r="A1188" s="144">
        <v>1226</v>
      </c>
      <c r="B1188" s="485" t="s">
        <v>235</v>
      </c>
      <c r="C1188" s="160" t="s">
        <v>515</v>
      </c>
      <c r="D1188" s="493" t="s">
        <v>98</v>
      </c>
      <c r="E1188" s="717" t="s">
        <v>315</v>
      </c>
      <c r="F1188" s="677" t="s">
        <v>302</v>
      </c>
      <c r="G1188" s="460" t="s">
        <v>881</v>
      </c>
      <c r="H1188" s="742" t="s">
        <v>375</v>
      </c>
      <c r="I1188" s="660" t="str">
        <f>VLOOKUP(H1188,'9a-Typen vloeren'!$A$10:$B$40,2,FALSE)</f>
        <v>n.v.t.</v>
      </c>
      <c r="J1188" s="743">
        <v>0</v>
      </c>
      <c r="K1188" s="433">
        <f t="shared" si="93"/>
        <v>0</v>
      </c>
      <c r="L1188" s="433">
        <f t="shared" si="94"/>
        <v>0</v>
      </c>
      <c r="M1188" s="433">
        <f t="shared" si="95"/>
        <v>0</v>
      </c>
      <c r="N1188" s="672"/>
      <c r="O1188" s="729">
        <f>IF(N1188="",0,N1188*K1188/'9b-Vloeronderhoud'!$F$4)</f>
        <v>0</v>
      </c>
      <c r="P1188" s="672"/>
      <c r="Q1188" s="729" t="e">
        <f>IF(O1188="",0,P1188*L1188/'9b-Vloeronderhoud'!$F$6)</f>
        <v>#DIV/0!</v>
      </c>
      <c r="R1188" s="449">
        <v>1</v>
      </c>
      <c r="S1188" s="732" t="s">
        <v>179</v>
      </c>
      <c r="T1188" s="161">
        <f t="shared" si="96"/>
        <v>0</v>
      </c>
      <c r="U1188" s="162">
        <f>IF(S1188="nio",0,IF(S1188&gt;0,VLOOKUP(G1188,'3-Productie normen'!A:K,VLOOKUP(S1188,'3-Productie normen'!L:N,3,FALSE),FALSE)))</f>
        <v>0</v>
      </c>
      <c r="V1188" s="162">
        <f>VLOOKUP(G1188,'3-Productie normen'!A:K,10,FALSE)</f>
        <v>5262.809993648526</v>
      </c>
      <c r="W1188" s="163">
        <f>VLOOKUP(G1188,'3-Productie normen'!A:K,11,FALSE)</f>
        <v>0</v>
      </c>
      <c r="X1188" s="163"/>
      <c r="Z1188" s="129">
        <f t="shared" si="97"/>
        <v>0</v>
      </c>
    </row>
    <row r="1189" spans="1:26" ht="14.1" customHeight="1">
      <c r="A1189" s="144">
        <v>1227</v>
      </c>
      <c r="B1189" s="485" t="s">
        <v>235</v>
      </c>
      <c r="C1189" s="160" t="s">
        <v>515</v>
      </c>
      <c r="D1189" s="493" t="s">
        <v>98</v>
      </c>
      <c r="E1189" s="717" t="s">
        <v>317</v>
      </c>
      <c r="F1189" s="677" t="s">
        <v>495</v>
      </c>
      <c r="G1189" s="460" t="s">
        <v>881</v>
      </c>
      <c r="H1189" s="742" t="s">
        <v>375</v>
      </c>
      <c r="I1189" s="660" t="str">
        <f>VLOOKUP(H1189,'9a-Typen vloeren'!$A$10:$B$40,2,FALSE)</f>
        <v>n.v.t.</v>
      </c>
      <c r="J1189" s="743">
        <v>0</v>
      </c>
      <c r="K1189" s="433">
        <f t="shared" si="93"/>
        <v>0</v>
      </c>
      <c r="L1189" s="433">
        <f t="shared" si="94"/>
        <v>0</v>
      </c>
      <c r="M1189" s="433">
        <f t="shared" si="95"/>
        <v>0</v>
      </c>
      <c r="N1189" s="672"/>
      <c r="O1189" s="729">
        <f>IF(N1189="",0,N1189*K1189/'9b-Vloeronderhoud'!$F$4)</f>
        <v>0</v>
      </c>
      <c r="P1189" s="672"/>
      <c r="Q1189" s="729" t="e">
        <f>IF(O1189="",0,P1189*L1189/'9b-Vloeronderhoud'!$F$6)</f>
        <v>#DIV/0!</v>
      </c>
      <c r="R1189" s="449">
        <v>1</v>
      </c>
      <c r="S1189" s="732" t="s">
        <v>179</v>
      </c>
      <c r="T1189" s="161">
        <f t="shared" si="96"/>
        <v>0</v>
      </c>
      <c r="U1189" s="162">
        <f>IF(S1189="nio",0,IF(S1189&gt;0,VLOOKUP(G1189,'3-Productie normen'!A:K,VLOOKUP(S1189,'3-Productie normen'!L:N,3,FALSE),FALSE)))</f>
        <v>0</v>
      </c>
      <c r="V1189" s="162">
        <f>VLOOKUP(G1189,'3-Productie normen'!A:K,10,FALSE)</f>
        <v>5262.809993648526</v>
      </c>
      <c r="W1189" s="163">
        <f>VLOOKUP(G1189,'3-Productie normen'!A:K,11,FALSE)</f>
        <v>0</v>
      </c>
      <c r="X1189" s="163"/>
      <c r="Z1189" s="129">
        <f t="shared" si="97"/>
        <v>0</v>
      </c>
    </row>
    <row r="1190" spans="1:26" ht="14.1" customHeight="1">
      <c r="A1190" s="144">
        <v>1228</v>
      </c>
      <c r="B1190" s="485" t="s">
        <v>235</v>
      </c>
      <c r="C1190" s="160" t="s">
        <v>515</v>
      </c>
      <c r="D1190" s="493" t="s">
        <v>98</v>
      </c>
      <c r="E1190" s="717" t="s">
        <v>318</v>
      </c>
      <c r="F1190" s="677" t="s">
        <v>283</v>
      </c>
      <c r="G1190" s="460" t="s">
        <v>881</v>
      </c>
      <c r="H1190" s="742" t="s">
        <v>375</v>
      </c>
      <c r="I1190" s="660" t="str">
        <f>VLOOKUP(H1190,'9a-Typen vloeren'!$A$10:$B$40,2,FALSE)</f>
        <v>n.v.t.</v>
      </c>
      <c r="J1190" s="743">
        <v>0</v>
      </c>
      <c r="K1190" s="433">
        <f t="shared" si="93"/>
        <v>0</v>
      </c>
      <c r="L1190" s="433">
        <f t="shared" si="94"/>
        <v>0</v>
      </c>
      <c r="M1190" s="433">
        <f t="shared" si="95"/>
        <v>0</v>
      </c>
      <c r="N1190" s="672"/>
      <c r="O1190" s="729">
        <f>IF(N1190="",0,N1190*K1190/'9b-Vloeronderhoud'!$F$4)</f>
        <v>0</v>
      </c>
      <c r="P1190" s="672"/>
      <c r="Q1190" s="729" t="e">
        <f>IF(O1190="",0,P1190*L1190/'9b-Vloeronderhoud'!$F$6)</f>
        <v>#DIV/0!</v>
      </c>
      <c r="R1190" s="449">
        <v>1</v>
      </c>
      <c r="S1190" s="732" t="s">
        <v>179</v>
      </c>
      <c r="T1190" s="161">
        <f t="shared" si="96"/>
        <v>0</v>
      </c>
      <c r="U1190" s="162">
        <f>IF(S1190="nio",0,IF(S1190&gt;0,VLOOKUP(G1190,'3-Productie normen'!A:K,VLOOKUP(S1190,'3-Productie normen'!L:N,3,FALSE),FALSE)))</f>
        <v>0</v>
      </c>
      <c r="V1190" s="162">
        <f>VLOOKUP(G1190,'3-Productie normen'!A:K,10,FALSE)</f>
        <v>5262.809993648526</v>
      </c>
      <c r="W1190" s="163">
        <f>VLOOKUP(G1190,'3-Productie normen'!A:K,11,FALSE)</f>
        <v>0</v>
      </c>
      <c r="X1190" s="163"/>
      <c r="Z1190" s="129">
        <f t="shared" si="97"/>
        <v>0</v>
      </c>
    </row>
    <row r="1191" spans="1:26" ht="14.1" customHeight="1">
      <c r="A1191" s="144">
        <v>1229</v>
      </c>
      <c r="B1191" s="485" t="s">
        <v>235</v>
      </c>
      <c r="C1191" s="160" t="s">
        <v>515</v>
      </c>
      <c r="D1191" s="493" t="s">
        <v>98</v>
      </c>
      <c r="E1191" s="717" t="s">
        <v>319</v>
      </c>
      <c r="F1191" s="677" t="s">
        <v>282</v>
      </c>
      <c r="G1191" s="460" t="s">
        <v>881</v>
      </c>
      <c r="H1191" s="677" t="s">
        <v>100</v>
      </c>
      <c r="I1191" s="582" t="str">
        <f>VLOOKUP(H1191,'9a-Typen vloeren'!$A$10:$B$40,2,FALSE)</f>
        <v>Sprayen/ conserveren</v>
      </c>
      <c r="J1191" s="678">
        <v>24.5</v>
      </c>
      <c r="K1191" s="433">
        <f t="shared" si="93"/>
        <v>0</v>
      </c>
      <c r="L1191" s="433">
        <f t="shared" si="94"/>
        <v>0</v>
      </c>
      <c r="M1191" s="433">
        <f t="shared" si="95"/>
        <v>0</v>
      </c>
      <c r="N1191" s="672"/>
      <c r="O1191" s="729">
        <f>IF(N1191="",0,N1191*K1191/'9b-Vloeronderhoud'!$F$4)</f>
        <v>0</v>
      </c>
      <c r="P1191" s="672"/>
      <c r="Q1191" s="729" t="e">
        <f>IF(O1191="",0,P1191*L1191/'9b-Vloeronderhoud'!$F$6)</f>
        <v>#DIV/0!</v>
      </c>
      <c r="R1191" s="449">
        <v>1</v>
      </c>
      <c r="S1191" s="672" t="s">
        <v>179</v>
      </c>
      <c r="T1191" s="161">
        <f t="shared" si="96"/>
        <v>0</v>
      </c>
      <c r="U1191" s="162">
        <f>IF(S1191="nio",0,IF(S1191&gt;0,VLOOKUP(G1191,'3-Productie normen'!A:K,VLOOKUP(S1191,'3-Productie normen'!L:N,3,FALSE),FALSE)))</f>
        <v>0</v>
      </c>
      <c r="V1191" s="162">
        <f>VLOOKUP(G1191,'3-Productie normen'!A:K,10,FALSE)</f>
        <v>5262.809993648526</v>
      </c>
      <c r="W1191" s="163">
        <f>VLOOKUP(G1191,'3-Productie normen'!A:K,11,FALSE)</f>
        <v>0</v>
      </c>
      <c r="X1191" s="163"/>
      <c r="Z1191" s="129">
        <f t="shared" si="97"/>
        <v>0</v>
      </c>
    </row>
    <row r="1192" spans="1:26" ht="14.1" customHeight="1">
      <c r="A1192" s="144">
        <v>1230</v>
      </c>
      <c r="B1192" s="485" t="s">
        <v>235</v>
      </c>
      <c r="C1192" s="160" t="s">
        <v>515</v>
      </c>
      <c r="D1192" s="493" t="s">
        <v>98</v>
      </c>
      <c r="E1192" s="717" t="s">
        <v>323</v>
      </c>
      <c r="F1192" s="677" t="s">
        <v>391</v>
      </c>
      <c r="G1192" s="460" t="s">
        <v>881</v>
      </c>
      <c r="H1192" s="677" t="s">
        <v>102</v>
      </c>
      <c r="I1192" s="582" t="str">
        <f>VLOOKUP(H1192,'9a-Typen vloeren'!$A$10:$B$40,2,FALSE)</f>
        <v>n.v.t.</v>
      </c>
      <c r="J1192" s="678">
        <v>3.2200000286102295</v>
      </c>
      <c r="K1192" s="433">
        <f t="shared" si="93"/>
        <v>0</v>
      </c>
      <c r="L1192" s="433">
        <f t="shared" si="94"/>
        <v>0</v>
      </c>
      <c r="M1192" s="433">
        <f t="shared" si="95"/>
        <v>0</v>
      </c>
      <c r="N1192" s="672"/>
      <c r="O1192" s="729">
        <f>IF(N1192="",0,N1192*K1192/'9b-Vloeronderhoud'!$F$4)</f>
        <v>0</v>
      </c>
      <c r="P1192" s="672"/>
      <c r="Q1192" s="729" t="e">
        <f>IF(O1192="",0,P1192*L1192/'9b-Vloeronderhoud'!$F$6)</f>
        <v>#DIV/0!</v>
      </c>
      <c r="R1192" s="449">
        <v>1</v>
      </c>
      <c r="S1192" s="672" t="s">
        <v>179</v>
      </c>
      <c r="T1192" s="161">
        <f t="shared" si="96"/>
        <v>0</v>
      </c>
      <c r="U1192" s="162">
        <f>IF(S1192="nio",0,IF(S1192&gt;0,VLOOKUP(G1192,'3-Productie normen'!A:K,VLOOKUP(S1192,'3-Productie normen'!L:N,3,FALSE),FALSE)))</f>
        <v>0</v>
      </c>
      <c r="V1192" s="162">
        <f>VLOOKUP(G1192,'3-Productie normen'!A:K,10,FALSE)</f>
        <v>5262.809993648526</v>
      </c>
      <c r="W1192" s="163">
        <f>VLOOKUP(G1192,'3-Productie normen'!A:K,11,FALSE)</f>
        <v>0</v>
      </c>
      <c r="X1192" s="163"/>
      <c r="Z1192" s="129">
        <f t="shared" si="97"/>
        <v>0</v>
      </c>
    </row>
    <row r="1193" spans="1:26" ht="14.1" customHeight="1">
      <c r="A1193" s="144">
        <v>1231</v>
      </c>
      <c r="B1193" s="485" t="s">
        <v>235</v>
      </c>
      <c r="C1193" s="160" t="s">
        <v>515</v>
      </c>
      <c r="D1193" s="493" t="s">
        <v>98</v>
      </c>
      <c r="E1193" s="717" t="s">
        <v>325</v>
      </c>
      <c r="F1193" s="677" t="s">
        <v>338</v>
      </c>
      <c r="G1193" s="460" t="s">
        <v>286</v>
      </c>
      <c r="H1193" s="677" t="s">
        <v>100</v>
      </c>
      <c r="I1193" s="582" t="str">
        <f>VLOOKUP(H1193,'9a-Typen vloeren'!$A$10:$B$40,2,FALSE)</f>
        <v>Sprayen/ conserveren</v>
      </c>
      <c r="J1193" s="678">
        <v>36.799999237060547</v>
      </c>
      <c r="K1193" s="433">
        <f t="shared" si="93"/>
        <v>36.799999237060547</v>
      </c>
      <c r="L1193" s="433">
        <f t="shared" si="94"/>
        <v>0</v>
      </c>
      <c r="M1193" s="433">
        <f t="shared" si="95"/>
        <v>0</v>
      </c>
      <c r="N1193" s="672">
        <v>2</v>
      </c>
      <c r="O1193" s="729" t="e">
        <f>IF(N1193="",0,N1193*K1193/'9b-Vloeronderhoud'!$F$4)</f>
        <v>#DIV/0!</v>
      </c>
      <c r="P1193" s="672"/>
      <c r="Q1193" s="729" t="e">
        <f>IF(O1193="",0,P1193*L1193/'9b-Vloeronderhoud'!$F$6)</f>
        <v>#DIV/0!</v>
      </c>
      <c r="R1193" s="449">
        <v>1</v>
      </c>
      <c r="S1193" s="672">
        <v>120</v>
      </c>
      <c r="T1193" s="161" t="e">
        <f t="shared" si="96"/>
        <v>#DIV/0!</v>
      </c>
      <c r="U1193" s="162">
        <f>IF(S1193="nio",0,IF(S1193&gt;0,VLOOKUP(G1193,'3-Productie normen'!A:K,VLOOKUP(S1193,'3-Productie normen'!L:N,3,FALSE),FALSE)))</f>
        <v>0</v>
      </c>
      <c r="V1193" s="162">
        <f>VLOOKUP(G1193,'3-Productie normen'!A:K,10,FALSE)</f>
        <v>6152.9500017547598</v>
      </c>
      <c r="W1193" s="163">
        <f>VLOOKUP(G1193,'3-Productie normen'!A:K,11,FALSE)</f>
        <v>0</v>
      </c>
      <c r="X1193" s="163"/>
      <c r="Z1193" s="129">
        <f t="shared" si="97"/>
        <v>4415.9999084472656</v>
      </c>
    </row>
    <row r="1194" spans="1:26" ht="14.1" customHeight="1">
      <c r="A1194" s="144">
        <v>1232</v>
      </c>
      <c r="B1194" s="485" t="s">
        <v>235</v>
      </c>
      <c r="C1194" s="160" t="s">
        <v>515</v>
      </c>
      <c r="D1194" s="493" t="s">
        <v>98</v>
      </c>
      <c r="E1194" s="717" t="s">
        <v>326</v>
      </c>
      <c r="F1194" s="677" t="s">
        <v>285</v>
      </c>
      <c r="G1194" s="546" t="s">
        <v>285</v>
      </c>
      <c r="H1194" s="677" t="s">
        <v>100</v>
      </c>
      <c r="I1194" s="582" t="str">
        <f>VLOOKUP(H1194,'9a-Typen vloeren'!$A$10:$B$40,2,FALSE)</f>
        <v>Sprayen/ conserveren</v>
      </c>
      <c r="J1194" s="678">
        <v>81.599998474121094</v>
      </c>
      <c r="K1194" s="433">
        <f t="shared" si="93"/>
        <v>81.599998474121094</v>
      </c>
      <c r="L1194" s="433">
        <f t="shared" si="94"/>
        <v>0</v>
      </c>
      <c r="M1194" s="433">
        <f t="shared" si="95"/>
        <v>0</v>
      </c>
      <c r="N1194" s="672"/>
      <c r="O1194" s="729">
        <f>IF(N1194="",0,N1194*K1194/'9b-Vloeronderhoud'!$F$4)</f>
        <v>0</v>
      </c>
      <c r="P1194" s="672"/>
      <c r="Q1194" s="729" t="e">
        <f>IF(O1194="",0,P1194*L1194/'9b-Vloeronderhoud'!$F$6)</f>
        <v>#DIV/0!</v>
      </c>
      <c r="R1194" s="449">
        <v>1</v>
      </c>
      <c r="S1194" s="672">
        <v>190</v>
      </c>
      <c r="T1194" s="161" t="e">
        <f t="shared" si="96"/>
        <v>#DIV/0!</v>
      </c>
      <c r="U1194" s="162">
        <f>IF(S1194="nio",0,IF(S1194&gt;0,VLOOKUP(G1194,'3-Productie normen'!A:K,VLOOKUP(S1194,'3-Productie normen'!L:N,3,FALSE),FALSE)))</f>
        <v>0</v>
      </c>
      <c r="V1194" s="162">
        <f>VLOOKUP(G1194,'3-Productie normen'!A:K,10,FALSE)</f>
        <v>3305.8200070953367</v>
      </c>
      <c r="W1194" s="163">
        <f>VLOOKUP(G1194,'3-Productie normen'!A:K,11,FALSE)</f>
        <v>0</v>
      </c>
      <c r="X1194" s="163"/>
      <c r="Z1194" s="129">
        <f t="shared" si="97"/>
        <v>15503.999710083008</v>
      </c>
    </row>
    <row r="1195" spans="1:26" ht="14.1" customHeight="1">
      <c r="A1195" s="144">
        <v>1233</v>
      </c>
      <c r="B1195" s="485" t="s">
        <v>235</v>
      </c>
      <c r="C1195" s="160" t="s">
        <v>515</v>
      </c>
      <c r="D1195" s="493" t="s">
        <v>98</v>
      </c>
      <c r="E1195" s="717" t="s">
        <v>329</v>
      </c>
      <c r="F1195" s="677" t="s">
        <v>302</v>
      </c>
      <c r="G1195" s="460" t="s">
        <v>18</v>
      </c>
      <c r="H1195" s="524" t="s">
        <v>966</v>
      </c>
      <c r="I1195" s="582" t="str">
        <f>VLOOKUP(H1195,'9a-Typen vloeren'!$A$10:$B$40,2,FALSE)</f>
        <v>zie kwaliteitsontwerp</v>
      </c>
      <c r="J1195" s="678">
        <v>6.3000001907348633</v>
      </c>
      <c r="K1195" s="433">
        <f t="shared" si="93"/>
        <v>0</v>
      </c>
      <c r="L1195" s="433">
        <f t="shared" si="94"/>
        <v>0</v>
      </c>
      <c r="M1195" s="433">
        <f t="shared" si="95"/>
        <v>0</v>
      </c>
      <c r="N1195" s="672"/>
      <c r="O1195" s="729">
        <f>IF(N1195="",0,N1195*K1195/'9b-Vloeronderhoud'!$F$4)</f>
        <v>0</v>
      </c>
      <c r="P1195" s="672"/>
      <c r="Q1195" s="729" t="e">
        <f>IF(O1195="",0,P1195*L1195/'9b-Vloeronderhoud'!$F$6)</f>
        <v>#DIV/0!</v>
      </c>
      <c r="R1195" s="449">
        <v>1</v>
      </c>
      <c r="S1195" s="672">
        <v>190</v>
      </c>
      <c r="T1195" s="161" t="e">
        <f t="shared" si="96"/>
        <v>#DIV/0!</v>
      </c>
      <c r="U1195" s="162">
        <f>IF(S1195="nio",0,IF(S1195&gt;0,VLOOKUP(G1195,'3-Productie normen'!A:K,VLOOKUP(S1195,'3-Productie normen'!L:N,3,FALSE),FALSE)))</f>
        <v>0</v>
      </c>
      <c r="V1195" s="162">
        <f>VLOOKUP(G1195,'3-Productie normen'!A:K,10,FALSE)</f>
        <v>1859.5880019121171</v>
      </c>
      <c r="W1195" s="163">
        <f>VLOOKUP(G1195,'3-Productie normen'!A:K,11,FALSE)</f>
        <v>0</v>
      </c>
      <c r="X1195" s="163"/>
      <c r="Z1195" s="129">
        <f t="shared" si="97"/>
        <v>1197.000036239624</v>
      </c>
    </row>
    <row r="1196" spans="1:26" ht="14.1" customHeight="1">
      <c r="A1196" s="144">
        <v>1234</v>
      </c>
      <c r="B1196" s="485" t="s">
        <v>235</v>
      </c>
      <c r="C1196" s="160" t="s">
        <v>515</v>
      </c>
      <c r="D1196" s="493" t="s">
        <v>98</v>
      </c>
      <c r="E1196" s="717" t="s">
        <v>330</v>
      </c>
      <c r="F1196" s="677" t="s">
        <v>284</v>
      </c>
      <c r="G1196" s="546" t="s">
        <v>99</v>
      </c>
      <c r="H1196" s="303" t="s">
        <v>332</v>
      </c>
      <c r="I1196" s="582" t="str">
        <f>VLOOKUP(H1196,'9a-Typen vloeren'!$A$10:$B$40,2,FALSE)</f>
        <v>Sproei/extraheren</v>
      </c>
      <c r="J1196" s="678">
        <v>4.4099998474121094</v>
      </c>
      <c r="K1196" s="433">
        <f t="shared" si="93"/>
        <v>0</v>
      </c>
      <c r="L1196" s="433">
        <f t="shared" si="94"/>
        <v>0</v>
      </c>
      <c r="M1196" s="433">
        <f t="shared" si="95"/>
        <v>4.4099998474121094</v>
      </c>
      <c r="N1196" s="672"/>
      <c r="O1196" s="729">
        <f>IF(N1196="",0,N1196*K1196/'9b-Vloeronderhoud'!$F$4)</f>
        <v>0</v>
      </c>
      <c r="P1196" s="672"/>
      <c r="Q1196" s="729" t="e">
        <f>IF(O1196="",0,P1196*L1196/'9b-Vloeronderhoud'!$F$6)</f>
        <v>#DIV/0!</v>
      </c>
      <c r="R1196" s="449">
        <v>1</v>
      </c>
      <c r="S1196" s="672">
        <v>190</v>
      </c>
      <c r="T1196" s="161" t="e">
        <f t="shared" si="96"/>
        <v>#DIV/0!</v>
      </c>
      <c r="U1196" s="162">
        <f>IF(S1196="nio",0,IF(S1196&gt;0,VLOOKUP(G1196,'3-Productie normen'!A:K,VLOOKUP(S1196,'3-Productie normen'!L:N,3,FALSE),FALSE)))</f>
        <v>0</v>
      </c>
      <c r="V1196" s="162">
        <f>VLOOKUP(G1196,'3-Productie normen'!A:K,10,FALSE)</f>
        <v>726.97999910354622</v>
      </c>
      <c r="W1196" s="163">
        <f>VLOOKUP(G1196,'3-Productie normen'!A:K,11,FALSE)</f>
        <v>0</v>
      </c>
      <c r="X1196" s="163"/>
      <c r="Z1196" s="129">
        <f t="shared" si="97"/>
        <v>837.89997100830078</v>
      </c>
    </row>
    <row r="1197" spans="1:26" ht="14.1" customHeight="1">
      <c r="A1197" s="144">
        <v>1235</v>
      </c>
      <c r="B1197" s="485" t="s">
        <v>235</v>
      </c>
      <c r="C1197" s="160" t="s">
        <v>515</v>
      </c>
      <c r="D1197" s="493" t="s">
        <v>98</v>
      </c>
      <c r="E1197" s="717" t="s">
        <v>331</v>
      </c>
      <c r="F1197" s="677" t="s">
        <v>302</v>
      </c>
      <c r="G1197" s="460" t="s">
        <v>18</v>
      </c>
      <c r="H1197" s="524" t="s">
        <v>966</v>
      </c>
      <c r="I1197" s="582" t="str">
        <f>VLOOKUP(H1197,'9a-Typen vloeren'!$A$10:$B$40,2,FALSE)</f>
        <v>zie kwaliteitsontwerp</v>
      </c>
      <c r="J1197" s="678">
        <v>6.3000001907348633</v>
      </c>
      <c r="K1197" s="433">
        <f t="shared" si="93"/>
        <v>0</v>
      </c>
      <c r="L1197" s="433">
        <f t="shared" si="94"/>
        <v>0</v>
      </c>
      <c r="M1197" s="433">
        <f t="shared" si="95"/>
        <v>0</v>
      </c>
      <c r="N1197" s="672"/>
      <c r="O1197" s="729">
        <f>IF(N1197="",0,N1197*K1197/'9b-Vloeronderhoud'!$F$4)</f>
        <v>0</v>
      </c>
      <c r="P1197" s="672"/>
      <c r="Q1197" s="729" t="e">
        <f>IF(O1197="",0,P1197*L1197/'9b-Vloeronderhoud'!$F$6)</f>
        <v>#DIV/0!</v>
      </c>
      <c r="R1197" s="449">
        <v>1</v>
      </c>
      <c r="S1197" s="672">
        <v>190</v>
      </c>
      <c r="T1197" s="161" t="e">
        <f t="shared" si="96"/>
        <v>#DIV/0!</v>
      </c>
      <c r="U1197" s="162">
        <f>IF(S1197="nio",0,IF(S1197&gt;0,VLOOKUP(G1197,'3-Productie normen'!A:K,VLOOKUP(S1197,'3-Productie normen'!L:N,3,FALSE),FALSE)))</f>
        <v>0</v>
      </c>
      <c r="V1197" s="162">
        <f>VLOOKUP(G1197,'3-Productie normen'!A:K,10,FALSE)</f>
        <v>1859.5880019121171</v>
      </c>
      <c r="W1197" s="163">
        <f>VLOOKUP(G1197,'3-Productie normen'!A:K,11,FALSE)</f>
        <v>0</v>
      </c>
      <c r="X1197" s="163"/>
      <c r="Z1197" s="129">
        <f t="shared" si="97"/>
        <v>1197.000036239624</v>
      </c>
    </row>
    <row r="1198" spans="1:26" ht="14.1" customHeight="1">
      <c r="A1198" s="144">
        <v>1236</v>
      </c>
      <c r="B1198" s="485" t="s">
        <v>235</v>
      </c>
      <c r="C1198" s="160" t="s">
        <v>515</v>
      </c>
      <c r="D1198" s="493" t="s">
        <v>98</v>
      </c>
      <c r="E1198" s="717" t="s">
        <v>406</v>
      </c>
      <c r="F1198" s="677" t="s">
        <v>285</v>
      </c>
      <c r="G1198" s="122" t="s">
        <v>285</v>
      </c>
      <c r="H1198" s="677" t="s">
        <v>100</v>
      </c>
      <c r="I1198" s="582" t="str">
        <f>VLOOKUP(H1198,'9a-Typen vloeren'!$A$10:$B$40,2,FALSE)</f>
        <v>Sprayen/ conserveren</v>
      </c>
      <c r="J1198" s="678">
        <v>84.459999084472656</v>
      </c>
      <c r="K1198" s="433">
        <f t="shared" si="93"/>
        <v>84.459999084472656</v>
      </c>
      <c r="L1198" s="433">
        <f t="shared" si="94"/>
        <v>0</v>
      </c>
      <c r="M1198" s="433">
        <f t="shared" si="95"/>
        <v>0</v>
      </c>
      <c r="N1198" s="672"/>
      <c r="O1198" s="729">
        <f>IF(N1198="",0,N1198*K1198/'9b-Vloeronderhoud'!$F$4)</f>
        <v>0</v>
      </c>
      <c r="P1198" s="672"/>
      <c r="Q1198" s="729" t="e">
        <f>IF(O1198="",0,P1198*L1198/'9b-Vloeronderhoud'!$F$6)</f>
        <v>#DIV/0!</v>
      </c>
      <c r="R1198" s="449">
        <v>1</v>
      </c>
      <c r="S1198" s="672">
        <v>190</v>
      </c>
      <c r="T1198" s="161" t="e">
        <f t="shared" si="96"/>
        <v>#DIV/0!</v>
      </c>
      <c r="U1198" s="162">
        <f>IF(S1198="nio",0,IF(S1198&gt;0,VLOOKUP(G1198,'3-Productie normen'!A:K,VLOOKUP(S1198,'3-Productie normen'!L:N,3,FALSE),FALSE)))</f>
        <v>0</v>
      </c>
      <c r="V1198" s="162">
        <f>VLOOKUP(G1198,'3-Productie normen'!A:K,10,FALSE)</f>
        <v>3305.8200070953367</v>
      </c>
      <c r="W1198" s="163">
        <f>VLOOKUP(G1198,'3-Productie normen'!A:K,11,FALSE)</f>
        <v>0</v>
      </c>
      <c r="X1198" s="163"/>
      <c r="Z1198" s="129">
        <f t="shared" si="97"/>
        <v>16047.399826049805</v>
      </c>
    </row>
    <row r="1199" spans="1:26" ht="14.1" customHeight="1">
      <c r="A1199" s="144">
        <v>1237</v>
      </c>
      <c r="B1199" s="485" t="s">
        <v>235</v>
      </c>
      <c r="C1199" s="160" t="s">
        <v>515</v>
      </c>
      <c r="D1199" s="493" t="s">
        <v>98</v>
      </c>
      <c r="E1199" s="717" t="s">
        <v>407</v>
      </c>
      <c r="F1199" s="677" t="s">
        <v>302</v>
      </c>
      <c r="G1199" s="122" t="s">
        <v>18</v>
      </c>
      <c r="H1199" s="524" t="s">
        <v>966</v>
      </c>
      <c r="I1199" s="582" t="str">
        <f>VLOOKUP(H1199,'9a-Typen vloeren'!$A$10:$B$40,2,FALSE)</f>
        <v>zie kwaliteitsontwerp</v>
      </c>
      <c r="J1199" s="678">
        <v>1.6200000047683716</v>
      </c>
      <c r="K1199" s="433">
        <f t="shared" si="93"/>
        <v>0</v>
      </c>
      <c r="L1199" s="433">
        <f t="shared" si="94"/>
        <v>0</v>
      </c>
      <c r="M1199" s="433">
        <f t="shared" si="95"/>
        <v>0</v>
      </c>
      <c r="N1199" s="672"/>
      <c r="O1199" s="729">
        <f>IF(N1199="",0,N1199*K1199/'9b-Vloeronderhoud'!$F$4)</f>
        <v>0</v>
      </c>
      <c r="P1199" s="672"/>
      <c r="Q1199" s="729" t="e">
        <f>IF(O1199="",0,P1199*L1199/'9b-Vloeronderhoud'!$F$6)</f>
        <v>#DIV/0!</v>
      </c>
      <c r="R1199" s="449">
        <v>1</v>
      </c>
      <c r="S1199" s="672">
        <v>190</v>
      </c>
      <c r="T1199" s="161" t="e">
        <f t="shared" si="96"/>
        <v>#DIV/0!</v>
      </c>
      <c r="U1199" s="162">
        <f>IF(S1199="nio",0,IF(S1199&gt;0,VLOOKUP(G1199,'3-Productie normen'!A:K,VLOOKUP(S1199,'3-Productie normen'!L:N,3,FALSE),FALSE)))</f>
        <v>0</v>
      </c>
      <c r="V1199" s="162">
        <f>VLOOKUP(G1199,'3-Productie normen'!A:K,10,FALSE)</f>
        <v>1859.5880019121171</v>
      </c>
      <c r="W1199" s="163">
        <f>VLOOKUP(G1199,'3-Productie normen'!A:K,11,FALSE)</f>
        <v>0</v>
      </c>
      <c r="X1199" s="163"/>
      <c r="Z1199" s="129">
        <f t="shared" si="97"/>
        <v>307.8000009059906</v>
      </c>
    </row>
    <row r="1200" spans="1:26" ht="14.1" customHeight="1">
      <c r="A1200" s="144">
        <v>1238</v>
      </c>
      <c r="B1200" s="485" t="s">
        <v>235</v>
      </c>
      <c r="C1200" s="160" t="s">
        <v>515</v>
      </c>
      <c r="D1200" s="493" t="s">
        <v>98</v>
      </c>
      <c r="E1200" s="712" t="s">
        <v>408</v>
      </c>
      <c r="F1200" s="492" t="s">
        <v>313</v>
      </c>
      <c r="G1200" s="460" t="s">
        <v>881</v>
      </c>
      <c r="H1200" s="492" t="s">
        <v>101</v>
      </c>
      <c r="I1200" s="582" t="str">
        <f>VLOOKUP(H1200,'9a-Typen vloeren'!$A$10:$B$40,2,FALSE)</f>
        <v>Schrobben</v>
      </c>
      <c r="J1200" s="586">
        <v>1.2000000476837158</v>
      </c>
      <c r="K1200" s="433">
        <f t="shared" si="93"/>
        <v>0</v>
      </c>
      <c r="L1200" s="433">
        <f t="shared" si="94"/>
        <v>0</v>
      </c>
      <c r="M1200" s="433">
        <f t="shared" si="95"/>
        <v>0</v>
      </c>
      <c r="N1200" s="672"/>
      <c r="O1200" s="729">
        <f>IF(N1200="",0,N1200*K1200/'9b-Vloeronderhoud'!$F$4)</f>
        <v>0</v>
      </c>
      <c r="P1200" s="672"/>
      <c r="Q1200" s="729" t="e">
        <f>IF(O1200="",0,P1200*L1200/'9b-Vloeronderhoud'!$F$6)</f>
        <v>#DIV/0!</v>
      </c>
      <c r="R1200" s="449">
        <v>1</v>
      </c>
      <c r="S1200" s="672" t="s">
        <v>179</v>
      </c>
      <c r="T1200" s="161">
        <f t="shared" si="96"/>
        <v>0</v>
      </c>
      <c r="U1200" s="162">
        <f>IF(S1200="nio",0,IF(S1200&gt;0,VLOOKUP(G1200,'3-Productie normen'!A:K,VLOOKUP(S1200,'3-Productie normen'!L:N,3,FALSE),FALSE)))</f>
        <v>0</v>
      </c>
      <c r="V1200" s="162">
        <f>VLOOKUP(G1200,'3-Productie normen'!A:K,10,FALSE)</f>
        <v>5262.809993648526</v>
      </c>
      <c r="W1200" s="163">
        <f>VLOOKUP(G1200,'3-Productie normen'!A:K,11,FALSE)</f>
        <v>0</v>
      </c>
      <c r="X1200" s="163"/>
      <c r="Z1200" s="129">
        <f t="shared" si="97"/>
        <v>0</v>
      </c>
    </row>
    <row r="1201" spans="1:26" ht="14.1" customHeight="1">
      <c r="A1201" s="144">
        <v>1239</v>
      </c>
      <c r="B1201" s="485" t="s">
        <v>235</v>
      </c>
      <c r="C1201" s="160" t="s">
        <v>515</v>
      </c>
      <c r="D1201" s="493" t="s">
        <v>98</v>
      </c>
      <c r="E1201" s="712" t="s">
        <v>414</v>
      </c>
      <c r="F1201" s="492" t="s">
        <v>313</v>
      </c>
      <c r="G1201" s="460" t="s">
        <v>881</v>
      </c>
      <c r="H1201" s="492" t="s">
        <v>100</v>
      </c>
      <c r="I1201" s="582" t="str">
        <f>VLOOKUP(H1201,'9a-Typen vloeren'!$A$10:$B$40,2,FALSE)</f>
        <v>Sprayen/ conserveren</v>
      </c>
      <c r="J1201" s="586">
        <v>6.4000000953674316</v>
      </c>
      <c r="K1201" s="433">
        <f t="shared" si="93"/>
        <v>0</v>
      </c>
      <c r="L1201" s="433">
        <f t="shared" si="94"/>
        <v>0</v>
      </c>
      <c r="M1201" s="433">
        <f t="shared" si="95"/>
        <v>0</v>
      </c>
      <c r="N1201" s="672"/>
      <c r="O1201" s="729">
        <f>IF(N1201="",0,N1201*K1201/'9b-Vloeronderhoud'!$F$4)</f>
        <v>0</v>
      </c>
      <c r="P1201" s="672"/>
      <c r="Q1201" s="729" t="e">
        <f>IF(O1201="",0,P1201*L1201/'9b-Vloeronderhoud'!$F$6)</f>
        <v>#DIV/0!</v>
      </c>
      <c r="R1201" s="449">
        <v>1</v>
      </c>
      <c r="S1201" s="672" t="s">
        <v>179</v>
      </c>
      <c r="T1201" s="161">
        <f t="shared" si="96"/>
        <v>0</v>
      </c>
      <c r="U1201" s="162">
        <f>IF(S1201="nio",0,IF(S1201&gt;0,VLOOKUP(G1201,'3-Productie normen'!A:K,VLOOKUP(S1201,'3-Productie normen'!L:N,3,FALSE),FALSE)))</f>
        <v>0</v>
      </c>
      <c r="V1201" s="162">
        <f>VLOOKUP(G1201,'3-Productie normen'!A:K,10,FALSE)</f>
        <v>5262.809993648526</v>
      </c>
      <c r="W1201" s="163">
        <f>VLOOKUP(G1201,'3-Productie normen'!A:K,11,FALSE)</f>
        <v>0</v>
      </c>
      <c r="X1201" s="163"/>
      <c r="Z1201" s="129">
        <f t="shared" si="97"/>
        <v>0</v>
      </c>
    </row>
    <row r="1202" spans="1:26" ht="14.1" customHeight="1">
      <c r="A1202" s="144">
        <v>1240</v>
      </c>
      <c r="B1202" s="485" t="s">
        <v>235</v>
      </c>
      <c r="C1202" s="160" t="s">
        <v>515</v>
      </c>
      <c r="D1202" s="493" t="s">
        <v>98</v>
      </c>
      <c r="E1202" s="712" t="s">
        <v>415</v>
      </c>
      <c r="F1202" s="492" t="s">
        <v>282</v>
      </c>
      <c r="G1202" s="460" t="s">
        <v>881</v>
      </c>
      <c r="H1202" s="492" t="s">
        <v>102</v>
      </c>
      <c r="I1202" s="582" t="str">
        <f>VLOOKUP(H1202,'9a-Typen vloeren'!$A$10:$B$40,2,FALSE)</f>
        <v>n.v.t.</v>
      </c>
      <c r="J1202" s="586">
        <v>10.539999961853027</v>
      </c>
      <c r="K1202" s="433">
        <f t="shared" si="93"/>
        <v>0</v>
      </c>
      <c r="L1202" s="433">
        <f t="shared" si="94"/>
        <v>0</v>
      </c>
      <c r="M1202" s="433">
        <f t="shared" si="95"/>
        <v>0</v>
      </c>
      <c r="N1202" s="672"/>
      <c r="O1202" s="729">
        <f>IF(N1202="",0,N1202*K1202/'9b-Vloeronderhoud'!$F$4)</f>
        <v>0</v>
      </c>
      <c r="P1202" s="672"/>
      <c r="Q1202" s="729" t="e">
        <f>IF(O1202="",0,P1202*L1202/'9b-Vloeronderhoud'!$F$6)</f>
        <v>#DIV/0!</v>
      </c>
      <c r="R1202" s="449">
        <v>1</v>
      </c>
      <c r="S1202" s="672" t="s">
        <v>179</v>
      </c>
      <c r="T1202" s="161">
        <f t="shared" si="96"/>
        <v>0</v>
      </c>
      <c r="U1202" s="162">
        <f>IF(S1202="nio",0,IF(S1202&gt;0,VLOOKUP(G1202,'3-Productie normen'!A:K,VLOOKUP(S1202,'3-Productie normen'!L:N,3,FALSE),FALSE)))</f>
        <v>0</v>
      </c>
      <c r="V1202" s="162">
        <f>VLOOKUP(G1202,'3-Productie normen'!A:K,10,FALSE)</f>
        <v>5262.809993648526</v>
      </c>
      <c r="W1202" s="163">
        <f>VLOOKUP(G1202,'3-Productie normen'!A:K,11,FALSE)</f>
        <v>0</v>
      </c>
      <c r="X1202" s="163"/>
      <c r="Z1202" s="129">
        <f t="shared" si="97"/>
        <v>0</v>
      </c>
    </row>
    <row r="1203" spans="1:26" ht="14.1" customHeight="1">
      <c r="A1203" s="144">
        <v>1241</v>
      </c>
      <c r="B1203" s="485" t="s">
        <v>235</v>
      </c>
      <c r="C1203" s="160" t="s">
        <v>515</v>
      </c>
      <c r="D1203" s="493" t="s">
        <v>98</v>
      </c>
      <c r="E1203" s="718" t="s">
        <v>416</v>
      </c>
      <c r="F1203" s="126" t="s">
        <v>282</v>
      </c>
      <c r="G1203" s="460" t="s">
        <v>881</v>
      </c>
      <c r="H1203" s="492" t="s">
        <v>102</v>
      </c>
      <c r="I1203" s="582" t="str">
        <f>VLOOKUP(H1203,'9a-Typen vloeren'!$A$10:$B$40,2,FALSE)</f>
        <v>n.v.t.</v>
      </c>
      <c r="J1203" s="586">
        <v>3.9900000095367432</v>
      </c>
      <c r="K1203" s="433">
        <f t="shared" si="93"/>
        <v>0</v>
      </c>
      <c r="L1203" s="433">
        <f t="shared" si="94"/>
        <v>0</v>
      </c>
      <c r="M1203" s="433">
        <f t="shared" si="95"/>
        <v>0</v>
      </c>
      <c r="N1203" s="672"/>
      <c r="O1203" s="729">
        <f>IF(N1203="",0,N1203*K1203/'9b-Vloeronderhoud'!$F$4)</f>
        <v>0</v>
      </c>
      <c r="P1203" s="672"/>
      <c r="Q1203" s="729" t="e">
        <f>IF(O1203="",0,P1203*L1203/'9b-Vloeronderhoud'!$F$6)</f>
        <v>#DIV/0!</v>
      </c>
      <c r="R1203" s="449">
        <v>1</v>
      </c>
      <c r="S1203" s="672" t="s">
        <v>179</v>
      </c>
      <c r="T1203" s="161">
        <f t="shared" si="96"/>
        <v>0</v>
      </c>
      <c r="U1203" s="162">
        <f>IF(S1203="nio",0,IF(S1203&gt;0,VLOOKUP(G1203,'3-Productie normen'!A:K,VLOOKUP(S1203,'3-Productie normen'!L:N,3,FALSE),FALSE)))</f>
        <v>0</v>
      </c>
      <c r="V1203" s="162">
        <f>VLOOKUP(G1203,'3-Productie normen'!A:K,10,FALSE)</f>
        <v>5262.809993648526</v>
      </c>
      <c r="W1203" s="163">
        <f>VLOOKUP(G1203,'3-Productie normen'!A:K,11,FALSE)</f>
        <v>0</v>
      </c>
      <c r="X1203" s="163"/>
      <c r="Z1203" s="129">
        <f t="shared" si="97"/>
        <v>0</v>
      </c>
    </row>
    <row r="1204" spans="1:26" ht="14.1" customHeight="1">
      <c r="A1204" s="144">
        <v>1242</v>
      </c>
      <c r="B1204" s="485" t="s">
        <v>235</v>
      </c>
      <c r="C1204" s="160" t="s">
        <v>515</v>
      </c>
      <c r="D1204" s="493" t="s">
        <v>98</v>
      </c>
      <c r="E1204" s="712" t="s">
        <v>417</v>
      </c>
      <c r="F1204" s="492" t="s">
        <v>313</v>
      </c>
      <c r="G1204" s="460" t="s">
        <v>881</v>
      </c>
      <c r="H1204" s="492" t="s">
        <v>100</v>
      </c>
      <c r="I1204" s="582" t="str">
        <f>VLOOKUP(H1204,'9a-Typen vloeren'!$A$10:$B$40,2,FALSE)</f>
        <v>Sprayen/ conserveren</v>
      </c>
      <c r="J1204" s="586">
        <v>11.699999809265137</v>
      </c>
      <c r="K1204" s="433">
        <f t="shared" si="93"/>
        <v>0</v>
      </c>
      <c r="L1204" s="433">
        <f t="shared" si="94"/>
        <v>0</v>
      </c>
      <c r="M1204" s="433">
        <f t="shared" si="95"/>
        <v>0</v>
      </c>
      <c r="N1204" s="672"/>
      <c r="O1204" s="729">
        <f>IF(N1204="",0,N1204*K1204/'9b-Vloeronderhoud'!$F$4)</f>
        <v>0</v>
      </c>
      <c r="P1204" s="672"/>
      <c r="Q1204" s="729" t="e">
        <f>IF(O1204="",0,P1204*L1204/'9b-Vloeronderhoud'!$F$6)</f>
        <v>#DIV/0!</v>
      </c>
      <c r="R1204" s="449">
        <v>1</v>
      </c>
      <c r="S1204" s="672" t="s">
        <v>179</v>
      </c>
      <c r="T1204" s="161">
        <f t="shared" si="96"/>
        <v>0</v>
      </c>
      <c r="U1204" s="162">
        <f>IF(S1204="nio",0,IF(S1204&gt;0,VLOOKUP(G1204,'3-Productie normen'!A:K,VLOOKUP(S1204,'3-Productie normen'!L:N,3,FALSE),FALSE)))</f>
        <v>0</v>
      </c>
      <c r="V1204" s="162">
        <f>VLOOKUP(G1204,'3-Productie normen'!A:K,10,FALSE)</f>
        <v>5262.809993648526</v>
      </c>
      <c r="W1204" s="163">
        <f>VLOOKUP(G1204,'3-Productie normen'!A:K,11,FALSE)</f>
        <v>0</v>
      </c>
      <c r="X1204" s="163"/>
      <c r="Z1204" s="129">
        <f t="shared" si="97"/>
        <v>0</v>
      </c>
    </row>
    <row r="1205" spans="1:26" ht="14.1" customHeight="1">
      <c r="A1205" s="144">
        <v>1243</v>
      </c>
      <c r="B1205" s="485" t="s">
        <v>235</v>
      </c>
      <c r="C1205" s="160" t="s">
        <v>515</v>
      </c>
      <c r="D1205" s="493" t="s">
        <v>98</v>
      </c>
      <c r="E1205" s="712" t="s">
        <v>418</v>
      </c>
      <c r="F1205" s="492" t="s">
        <v>221</v>
      </c>
      <c r="G1205" s="303" t="s">
        <v>221</v>
      </c>
      <c r="H1205" s="492" t="s">
        <v>100</v>
      </c>
      <c r="I1205" s="582" t="str">
        <f>VLOOKUP(H1205,'9a-Typen vloeren'!$A$10:$B$40,2,FALSE)</f>
        <v>Sprayen/ conserveren</v>
      </c>
      <c r="J1205" s="586">
        <v>56</v>
      </c>
      <c r="K1205" s="433">
        <f t="shared" si="93"/>
        <v>56</v>
      </c>
      <c r="L1205" s="433">
        <f t="shared" si="94"/>
        <v>0</v>
      </c>
      <c r="M1205" s="433">
        <f t="shared" si="95"/>
        <v>0</v>
      </c>
      <c r="N1205" s="672"/>
      <c r="O1205" s="729">
        <f>IF(N1205="",0,N1205*K1205/'9b-Vloeronderhoud'!$F$4)</f>
        <v>0</v>
      </c>
      <c r="P1205" s="672"/>
      <c r="Q1205" s="729" t="e">
        <f>IF(O1205="",0,P1205*L1205/'9b-Vloeronderhoud'!$F$6)</f>
        <v>#DIV/0!</v>
      </c>
      <c r="R1205" s="449">
        <v>1</v>
      </c>
      <c r="S1205" s="672">
        <v>80</v>
      </c>
      <c r="T1205" s="161" t="e">
        <f t="shared" si="96"/>
        <v>#DIV/0!</v>
      </c>
      <c r="U1205" s="162">
        <f>IF(S1205="nio",0,IF(S1205&gt;0,VLOOKUP(G1205,'3-Productie normen'!A:K,VLOOKUP(S1205,'3-Productie normen'!L:N,3,FALSE),FALSE)))</f>
        <v>0</v>
      </c>
      <c r="V1205" s="162">
        <f>VLOOKUP(G1205,'3-Productie normen'!A:K,10,FALSE)</f>
        <v>16013.110036668773</v>
      </c>
      <c r="W1205" s="163">
        <f>VLOOKUP(G1205,'3-Productie normen'!A:K,11,FALSE)</f>
        <v>0</v>
      </c>
      <c r="X1205" s="163"/>
      <c r="Z1205" s="129">
        <f t="shared" si="97"/>
        <v>4480</v>
      </c>
    </row>
    <row r="1206" spans="1:26" ht="14.1" customHeight="1">
      <c r="A1206" s="144">
        <v>1244</v>
      </c>
      <c r="B1206" s="485" t="s">
        <v>235</v>
      </c>
      <c r="C1206" s="160" t="s">
        <v>515</v>
      </c>
      <c r="D1206" s="493" t="s">
        <v>98</v>
      </c>
      <c r="E1206" s="712" t="s">
        <v>521</v>
      </c>
      <c r="F1206" s="303" t="s">
        <v>221</v>
      </c>
      <c r="G1206" s="460" t="s">
        <v>221</v>
      </c>
      <c r="H1206" s="492" t="s">
        <v>100</v>
      </c>
      <c r="I1206" s="582" t="str">
        <f>VLOOKUP(H1206,'9a-Typen vloeren'!$A$10:$B$40,2,FALSE)</f>
        <v>Sprayen/ conserveren</v>
      </c>
      <c r="J1206" s="586">
        <v>56</v>
      </c>
      <c r="K1206" s="433">
        <f t="shared" si="93"/>
        <v>56</v>
      </c>
      <c r="L1206" s="433">
        <f t="shared" si="94"/>
        <v>0</v>
      </c>
      <c r="M1206" s="433">
        <f t="shared" si="95"/>
        <v>0</v>
      </c>
      <c r="N1206" s="672"/>
      <c r="O1206" s="729">
        <f>IF(N1206="",0,N1206*K1206/'9b-Vloeronderhoud'!$F$4)</f>
        <v>0</v>
      </c>
      <c r="P1206" s="672"/>
      <c r="Q1206" s="729" t="e">
        <f>IF(O1206="",0,P1206*L1206/'9b-Vloeronderhoud'!$F$6)</f>
        <v>#DIV/0!</v>
      </c>
      <c r="R1206" s="449">
        <v>1</v>
      </c>
      <c r="S1206" s="672">
        <v>80</v>
      </c>
      <c r="T1206" s="161" t="e">
        <f t="shared" si="96"/>
        <v>#DIV/0!</v>
      </c>
      <c r="U1206" s="162">
        <f>IF(S1206="nio",0,IF(S1206&gt;0,VLOOKUP(G1206,'3-Productie normen'!A:K,VLOOKUP(S1206,'3-Productie normen'!L:N,3,FALSE),FALSE)))</f>
        <v>0</v>
      </c>
      <c r="V1206" s="162">
        <f>VLOOKUP(G1206,'3-Productie normen'!A:K,10,FALSE)</f>
        <v>16013.110036668773</v>
      </c>
      <c r="W1206" s="163">
        <f>VLOOKUP(G1206,'3-Productie normen'!A:K,11,FALSE)</f>
        <v>0</v>
      </c>
      <c r="X1206" s="163"/>
      <c r="Z1206" s="129">
        <f t="shared" si="97"/>
        <v>4480</v>
      </c>
    </row>
    <row r="1207" spans="1:26" ht="14.1" customHeight="1">
      <c r="A1207" s="144">
        <v>1245</v>
      </c>
      <c r="B1207" s="485" t="s">
        <v>235</v>
      </c>
      <c r="C1207" s="160" t="s">
        <v>515</v>
      </c>
      <c r="D1207" s="493" t="s">
        <v>98</v>
      </c>
      <c r="E1207" s="712" t="s">
        <v>522</v>
      </c>
      <c r="F1207" s="492" t="s">
        <v>221</v>
      </c>
      <c r="G1207" s="303" t="s">
        <v>221</v>
      </c>
      <c r="H1207" s="492" t="s">
        <v>100</v>
      </c>
      <c r="I1207" s="582" t="str">
        <f>VLOOKUP(H1207,'9a-Typen vloeren'!$A$10:$B$40,2,FALSE)</f>
        <v>Sprayen/ conserveren</v>
      </c>
      <c r="J1207" s="586">
        <v>56.5</v>
      </c>
      <c r="K1207" s="433">
        <f t="shared" ref="K1207:K1270" si="98">IF(G1207="niet in onderhoud",0,IF(I1207="sprayen/ conserveren",J1207,0))</f>
        <v>56.5</v>
      </c>
      <c r="L1207" s="433">
        <f t="shared" ref="L1207:L1270" si="99">IF(G1207="niet in onderhoud",0,IF(I1207="schrobben",J1207,0))</f>
        <v>0</v>
      </c>
      <c r="M1207" s="433">
        <f t="shared" ref="M1207:M1270" si="100">IF(G1207="niet in onderhoud",0,IF(I1207="Sproei/extraheren",J1207,0))</f>
        <v>0</v>
      </c>
      <c r="N1207" s="672"/>
      <c r="O1207" s="729">
        <f>IF(N1207="",0,N1207*K1207/'9b-Vloeronderhoud'!$F$4)</f>
        <v>0</v>
      </c>
      <c r="P1207" s="672"/>
      <c r="Q1207" s="729" t="e">
        <f>IF(O1207="",0,P1207*L1207/'9b-Vloeronderhoud'!$F$6)</f>
        <v>#DIV/0!</v>
      </c>
      <c r="R1207" s="449">
        <v>1</v>
      </c>
      <c r="S1207" s="672">
        <v>80</v>
      </c>
      <c r="T1207" s="161" t="e">
        <f t="shared" si="96"/>
        <v>#DIV/0!</v>
      </c>
      <c r="U1207" s="162">
        <f>IF(S1207="nio",0,IF(S1207&gt;0,VLOOKUP(G1207,'3-Productie normen'!A:K,VLOOKUP(S1207,'3-Productie normen'!L:N,3,FALSE),FALSE)))</f>
        <v>0</v>
      </c>
      <c r="V1207" s="162">
        <f>VLOOKUP(G1207,'3-Productie normen'!A:K,10,FALSE)</f>
        <v>16013.110036668773</v>
      </c>
      <c r="W1207" s="163">
        <f>VLOOKUP(G1207,'3-Productie normen'!A:K,11,FALSE)</f>
        <v>0</v>
      </c>
      <c r="X1207" s="163"/>
      <c r="Z1207" s="129">
        <f t="shared" si="97"/>
        <v>4520</v>
      </c>
    </row>
    <row r="1208" spans="1:26" ht="14.1" customHeight="1">
      <c r="A1208" s="144">
        <v>1246</v>
      </c>
      <c r="B1208" s="485" t="s">
        <v>235</v>
      </c>
      <c r="C1208" s="160" t="s">
        <v>515</v>
      </c>
      <c r="D1208" s="493" t="s">
        <v>98</v>
      </c>
      <c r="E1208" s="712" t="s">
        <v>523</v>
      </c>
      <c r="F1208" s="492" t="s">
        <v>284</v>
      </c>
      <c r="G1208" s="460" t="s">
        <v>99</v>
      </c>
      <c r="H1208" s="303" t="s">
        <v>332</v>
      </c>
      <c r="I1208" s="582" t="str">
        <f>VLOOKUP(H1208,'9a-Typen vloeren'!$A$10:$B$40,2,FALSE)</f>
        <v>Sproei/extraheren</v>
      </c>
      <c r="J1208" s="586">
        <v>4</v>
      </c>
      <c r="K1208" s="433">
        <f t="shared" si="98"/>
        <v>0</v>
      </c>
      <c r="L1208" s="433">
        <f t="shared" si="99"/>
        <v>0</v>
      </c>
      <c r="M1208" s="433">
        <f t="shared" si="100"/>
        <v>4</v>
      </c>
      <c r="N1208" s="672"/>
      <c r="O1208" s="729">
        <f>IF(N1208="",0,N1208*K1208/'9b-Vloeronderhoud'!$F$4)</f>
        <v>0</v>
      </c>
      <c r="P1208" s="672"/>
      <c r="Q1208" s="729" t="e">
        <f>IF(O1208="",0,P1208*L1208/'9b-Vloeronderhoud'!$F$6)</f>
        <v>#DIV/0!</v>
      </c>
      <c r="R1208" s="449">
        <v>1</v>
      </c>
      <c r="S1208" s="672">
        <v>190</v>
      </c>
      <c r="T1208" s="161" t="e">
        <f t="shared" si="96"/>
        <v>#DIV/0!</v>
      </c>
      <c r="U1208" s="162">
        <f>IF(S1208="nio",0,IF(S1208&gt;0,VLOOKUP(G1208,'3-Productie normen'!A:K,VLOOKUP(S1208,'3-Productie normen'!L:N,3,FALSE),FALSE)))</f>
        <v>0</v>
      </c>
      <c r="V1208" s="162">
        <f>VLOOKUP(G1208,'3-Productie normen'!A:K,10,FALSE)</f>
        <v>726.97999910354622</v>
      </c>
      <c r="W1208" s="163">
        <f>VLOOKUP(G1208,'3-Productie normen'!A:K,11,FALSE)</f>
        <v>0</v>
      </c>
      <c r="X1208" s="163"/>
      <c r="Z1208" s="129">
        <f t="shared" si="97"/>
        <v>760</v>
      </c>
    </row>
    <row r="1209" spans="1:26" ht="14.1" customHeight="1">
      <c r="A1209" s="144">
        <v>1247</v>
      </c>
      <c r="B1209" s="485" t="s">
        <v>235</v>
      </c>
      <c r="C1209" s="160" t="s">
        <v>515</v>
      </c>
      <c r="D1209" s="493" t="s">
        <v>98</v>
      </c>
      <c r="E1209" s="712" t="s">
        <v>524</v>
      </c>
      <c r="F1209" s="492" t="s">
        <v>283</v>
      </c>
      <c r="G1209" s="126" t="s">
        <v>286</v>
      </c>
      <c r="H1209" s="492" t="s">
        <v>100</v>
      </c>
      <c r="I1209" s="582" t="str">
        <f>VLOOKUP(H1209,'9a-Typen vloeren'!$A$10:$B$40,2,FALSE)</f>
        <v>Sprayen/ conserveren</v>
      </c>
      <c r="J1209" s="586">
        <v>76.760002136230469</v>
      </c>
      <c r="K1209" s="433">
        <f t="shared" si="98"/>
        <v>76.760002136230469</v>
      </c>
      <c r="L1209" s="433">
        <f t="shared" si="99"/>
        <v>0</v>
      </c>
      <c r="M1209" s="433">
        <f t="shared" si="100"/>
        <v>0</v>
      </c>
      <c r="N1209" s="672">
        <v>2</v>
      </c>
      <c r="O1209" s="729" t="e">
        <f>IF(N1209="",0,N1209*K1209/'9b-Vloeronderhoud'!$F$4)</f>
        <v>#DIV/0!</v>
      </c>
      <c r="P1209" s="672"/>
      <c r="Q1209" s="729" t="e">
        <f>IF(O1209="",0,P1209*L1209/'9b-Vloeronderhoud'!$F$6)</f>
        <v>#DIV/0!</v>
      </c>
      <c r="R1209" s="449">
        <v>1</v>
      </c>
      <c r="S1209" s="672">
        <v>120</v>
      </c>
      <c r="T1209" s="161" t="e">
        <f t="shared" si="96"/>
        <v>#DIV/0!</v>
      </c>
      <c r="U1209" s="162">
        <f>IF(S1209="nio",0,IF(S1209&gt;0,VLOOKUP(G1209,'3-Productie normen'!A:K,VLOOKUP(S1209,'3-Productie normen'!L:N,3,FALSE),FALSE)))</f>
        <v>0</v>
      </c>
      <c r="V1209" s="162">
        <f>VLOOKUP(G1209,'3-Productie normen'!A:K,10,FALSE)</f>
        <v>6152.9500017547598</v>
      </c>
      <c r="W1209" s="163">
        <f>VLOOKUP(G1209,'3-Productie normen'!A:K,11,FALSE)</f>
        <v>0</v>
      </c>
      <c r="X1209" s="163"/>
      <c r="Z1209" s="129">
        <f t="shared" si="97"/>
        <v>9211.2002563476563</v>
      </c>
    </row>
    <row r="1210" spans="1:26" ht="14.1" customHeight="1">
      <c r="A1210" s="144">
        <v>1248</v>
      </c>
      <c r="B1210" s="485" t="s">
        <v>235</v>
      </c>
      <c r="C1210" s="160" t="s">
        <v>515</v>
      </c>
      <c r="D1210" s="493" t="s">
        <v>98</v>
      </c>
      <c r="E1210" s="712" t="s">
        <v>525</v>
      </c>
      <c r="F1210" s="492" t="s">
        <v>865</v>
      </c>
      <c r="G1210" s="303" t="s">
        <v>862</v>
      </c>
      <c r="H1210" s="492" t="s">
        <v>100</v>
      </c>
      <c r="I1210" s="582" t="str">
        <f>VLOOKUP(H1210,'9a-Typen vloeren'!$A$10:$B$40,2,FALSE)</f>
        <v>Sprayen/ conserveren</v>
      </c>
      <c r="J1210" s="586">
        <v>71</v>
      </c>
      <c r="K1210" s="433">
        <f t="shared" si="98"/>
        <v>71</v>
      </c>
      <c r="L1210" s="433">
        <f t="shared" si="99"/>
        <v>0</v>
      </c>
      <c r="M1210" s="433">
        <f t="shared" si="100"/>
        <v>0</v>
      </c>
      <c r="N1210" s="672">
        <v>2</v>
      </c>
      <c r="O1210" s="729" t="e">
        <f>IF(N1210="",0,N1210*K1210/'9b-Vloeronderhoud'!$F$4)</f>
        <v>#DIV/0!</v>
      </c>
      <c r="P1210" s="672"/>
      <c r="Q1210" s="729" t="e">
        <f>IF(O1210="",0,P1210*L1210/'9b-Vloeronderhoud'!$F$6)</f>
        <v>#DIV/0!</v>
      </c>
      <c r="R1210" s="449">
        <v>1</v>
      </c>
      <c r="S1210" s="672">
        <v>120</v>
      </c>
      <c r="T1210" s="161" t="e">
        <f t="shared" si="96"/>
        <v>#DIV/0!</v>
      </c>
      <c r="U1210" s="162">
        <f>IF(S1210="nio",0,IF(S1210&gt;0,VLOOKUP(G1210,'3-Productie normen'!A:K,VLOOKUP(S1210,'3-Productie normen'!L:N,3,FALSE),FALSE)))</f>
        <v>0</v>
      </c>
      <c r="V1210" s="162">
        <f>VLOOKUP(G1210,'3-Productie normen'!A:K,10,FALSE)</f>
        <v>4374.9900215911857</v>
      </c>
      <c r="W1210" s="163">
        <f>VLOOKUP(G1210,'3-Productie normen'!A:K,11,FALSE)</f>
        <v>0</v>
      </c>
      <c r="X1210" s="163"/>
      <c r="Z1210" s="129">
        <f t="shared" si="97"/>
        <v>8520</v>
      </c>
    </row>
    <row r="1211" spans="1:26" ht="14.1" customHeight="1">
      <c r="A1211" s="144">
        <v>1249</v>
      </c>
      <c r="B1211" s="485" t="s">
        <v>235</v>
      </c>
      <c r="C1211" s="160" t="s">
        <v>515</v>
      </c>
      <c r="D1211" s="493" t="s">
        <v>98</v>
      </c>
      <c r="E1211" s="712" t="s">
        <v>526</v>
      </c>
      <c r="F1211" s="492" t="s">
        <v>287</v>
      </c>
      <c r="G1211" s="460" t="s">
        <v>287</v>
      </c>
      <c r="H1211" s="492" t="s">
        <v>100</v>
      </c>
      <c r="I1211" s="582" t="str">
        <f>VLOOKUP(H1211,'9a-Typen vloeren'!$A$10:$B$40,2,FALSE)</f>
        <v>Sprayen/ conserveren</v>
      </c>
      <c r="J1211" s="586">
        <v>8.8000001907348633</v>
      </c>
      <c r="K1211" s="433">
        <f t="shared" si="98"/>
        <v>8.8000001907348633</v>
      </c>
      <c r="L1211" s="433">
        <f t="shared" si="99"/>
        <v>0</v>
      </c>
      <c r="M1211" s="433">
        <f t="shared" si="100"/>
        <v>0</v>
      </c>
      <c r="N1211" s="672"/>
      <c r="O1211" s="729">
        <f>IF(N1211="",0,N1211*K1211/'9b-Vloeronderhoud'!$F$4)</f>
        <v>0</v>
      </c>
      <c r="P1211" s="672"/>
      <c r="Q1211" s="729" t="e">
        <f>IF(O1211="",0,P1211*L1211/'9b-Vloeronderhoud'!$F$6)</f>
        <v>#DIV/0!</v>
      </c>
      <c r="R1211" s="449">
        <v>1</v>
      </c>
      <c r="S1211" s="672">
        <v>80</v>
      </c>
      <c r="T1211" s="161" t="e">
        <f t="shared" si="96"/>
        <v>#DIV/0!</v>
      </c>
      <c r="U1211" s="162">
        <f>IF(S1211="nio",0,IF(S1211&gt;0,VLOOKUP(G1211,'3-Productie normen'!A:K,VLOOKUP(S1211,'3-Productie normen'!L:N,3,FALSE),FALSE)))</f>
        <v>0</v>
      </c>
      <c r="V1211" s="162">
        <f>VLOOKUP(G1211,'3-Productie normen'!A:K,10,FALSE)</f>
        <v>519.460002565384</v>
      </c>
      <c r="W1211" s="163">
        <f>VLOOKUP(G1211,'3-Productie normen'!A:K,11,FALSE)</f>
        <v>0</v>
      </c>
      <c r="X1211" s="163"/>
      <c r="Z1211" s="129">
        <f t="shared" si="97"/>
        <v>704.00001525878906</v>
      </c>
    </row>
    <row r="1212" spans="1:26" ht="14.1" customHeight="1">
      <c r="A1212" s="144">
        <v>1250</v>
      </c>
      <c r="B1212" s="485" t="s">
        <v>235</v>
      </c>
      <c r="C1212" s="160" t="s">
        <v>515</v>
      </c>
      <c r="D1212" s="493" t="s">
        <v>98</v>
      </c>
      <c r="E1212" s="712" t="s">
        <v>527</v>
      </c>
      <c r="F1212" s="492" t="s">
        <v>313</v>
      </c>
      <c r="G1212" s="460" t="s">
        <v>881</v>
      </c>
      <c r="H1212" s="492" t="s">
        <v>100</v>
      </c>
      <c r="I1212" s="582" t="str">
        <f>VLOOKUP(H1212,'9a-Typen vloeren'!$A$10:$B$40,2,FALSE)</f>
        <v>Sprayen/ conserveren</v>
      </c>
      <c r="J1212" s="586">
        <v>0.87999999523162842</v>
      </c>
      <c r="K1212" s="433">
        <f t="shared" si="98"/>
        <v>0</v>
      </c>
      <c r="L1212" s="433">
        <f t="shared" si="99"/>
        <v>0</v>
      </c>
      <c r="M1212" s="433">
        <f t="shared" si="100"/>
        <v>0</v>
      </c>
      <c r="N1212" s="672"/>
      <c r="O1212" s="729">
        <f>IF(N1212="",0,N1212*K1212/'9b-Vloeronderhoud'!$F$4)</f>
        <v>0</v>
      </c>
      <c r="P1212" s="672"/>
      <c r="Q1212" s="729" t="e">
        <f>IF(O1212="",0,P1212*L1212/'9b-Vloeronderhoud'!$F$6)</f>
        <v>#DIV/0!</v>
      </c>
      <c r="R1212" s="449">
        <v>1</v>
      </c>
      <c r="S1212" s="672" t="s">
        <v>179</v>
      </c>
      <c r="T1212" s="161">
        <f t="shared" si="96"/>
        <v>0</v>
      </c>
      <c r="U1212" s="162">
        <f>IF(S1212="nio",0,IF(S1212&gt;0,VLOOKUP(G1212,'3-Productie normen'!A:K,VLOOKUP(S1212,'3-Productie normen'!L:N,3,FALSE),FALSE)))</f>
        <v>0</v>
      </c>
      <c r="V1212" s="162">
        <f>VLOOKUP(G1212,'3-Productie normen'!A:K,10,FALSE)</f>
        <v>5262.809993648526</v>
      </c>
      <c r="W1212" s="163">
        <f>VLOOKUP(G1212,'3-Productie normen'!A:K,11,FALSE)</f>
        <v>0</v>
      </c>
      <c r="X1212" s="163"/>
      <c r="Z1212" s="129">
        <f t="shared" si="97"/>
        <v>0</v>
      </c>
    </row>
    <row r="1213" spans="1:26" ht="14.1" customHeight="1">
      <c r="A1213" s="144">
        <v>1251</v>
      </c>
      <c r="B1213" s="485" t="s">
        <v>235</v>
      </c>
      <c r="C1213" s="160" t="s">
        <v>515</v>
      </c>
      <c r="D1213" s="493" t="s">
        <v>98</v>
      </c>
      <c r="E1213" s="712" t="s">
        <v>528</v>
      </c>
      <c r="F1213" s="492" t="s">
        <v>611</v>
      </c>
      <c r="G1213" s="533" t="s">
        <v>286</v>
      </c>
      <c r="H1213" s="492" t="s">
        <v>100</v>
      </c>
      <c r="I1213" s="582" t="str">
        <f>VLOOKUP(H1213,'9a-Typen vloeren'!$A$10:$B$40,2,FALSE)</f>
        <v>Sprayen/ conserveren</v>
      </c>
      <c r="J1213" s="586">
        <v>5.4000000953674316</v>
      </c>
      <c r="K1213" s="433">
        <f t="shared" si="98"/>
        <v>5.4000000953674316</v>
      </c>
      <c r="L1213" s="433">
        <f t="shared" si="99"/>
        <v>0</v>
      </c>
      <c r="M1213" s="433">
        <f t="shared" si="100"/>
        <v>0</v>
      </c>
      <c r="N1213" s="672"/>
      <c r="O1213" s="729">
        <f>IF(N1213="",0,N1213*K1213/'9b-Vloeronderhoud'!$F$4)</f>
        <v>0</v>
      </c>
      <c r="P1213" s="672"/>
      <c r="Q1213" s="729" t="e">
        <f>IF(O1213="",0,P1213*L1213/'9b-Vloeronderhoud'!$F$6)</f>
        <v>#DIV/0!</v>
      </c>
      <c r="R1213" s="449">
        <v>1</v>
      </c>
      <c r="S1213" s="672">
        <v>80</v>
      </c>
      <c r="T1213" s="161" t="e">
        <f t="shared" si="96"/>
        <v>#DIV/0!</v>
      </c>
      <c r="U1213" s="162">
        <f>IF(S1213="nio",0,IF(S1213&gt;0,VLOOKUP(G1213,'3-Productie normen'!A:K,VLOOKUP(S1213,'3-Productie normen'!L:N,3,FALSE),FALSE)))</f>
        <v>0</v>
      </c>
      <c r="V1213" s="162">
        <f>VLOOKUP(G1213,'3-Productie normen'!A:K,10,FALSE)</f>
        <v>6152.9500017547598</v>
      </c>
      <c r="W1213" s="163">
        <f>VLOOKUP(G1213,'3-Productie normen'!A:K,11,FALSE)</f>
        <v>0</v>
      </c>
      <c r="X1213" s="163"/>
      <c r="Z1213" s="129">
        <f t="shared" si="97"/>
        <v>432.00000762939453</v>
      </c>
    </row>
    <row r="1214" spans="1:26" ht="14.1" customHeight="1">
      <c r="A1214" s="144">
        <v>1252</v>
      </c>
      <c r="B1214" s="485" t="s">
        <v>235</v>
      </c>
      <c r="C1214" s="160" t="s">
        <v>515</v>
      </c>
      <c r="D1214" s="493" t="s">
        <v>98</v>
      </c>
      <c r="E1214" s="712" t="s">
        <v>509</v>
      </c>
      <c r="F1214" s="492" t="s">
        <v>529</v>
      </c>
      <c r="G1214" s="460" t="s">
        <v>881</v>
      </c>
      <c r="H1214" s="492" t="s">
        <v>100</v>
      </c>
      <c r="I1214" s="582" t="str">
        <f>VLOOKUP(H1214,'9a-Typen vloeren'!$A$10:$B$40,2,FALSE)</f>
        <v>Sprayen/ conserveren</v>
      </c>
      <c r="J1214" s="586">
        <v>7.7199997901916504</v>
      </c>
      <c r="K1214" s="433">
        <f t="shared" si="98"/>
        <v>0</v>
      </c>
      <c r="L1214" s="433">
        <f t="shared" si="99"/>
        <v>0</v>
      </c>
      <c r="M1214" s="433">
        <f t="shared" si="100"/>
        <v>0</v>
      </c>
      <c r="N1214" s="672"/>
      <c r="O1214" s="729">
        <f>IF(N1214="",0,N1214*K1214/'9b-Vloeronderhoud'!$F$4)</f>
        <v>0</v>
      </c>
      <c r="P1214" s="672"/>
      <c r="Q1214" s="729" t="e">
        <f>IF(O1214="",0,P1214*L1214/'9b-Vloeronderhoud'!$F$6)</f>
        <v>#DIV/0!</v>
      </c>
      <c r="R1214" s="449">
        <v>1</v>
      </c>
      <c r="S1214" s="672" t="s">
        <v>179</v>
      </c>
      <c r="T1214" s="161">
        <f t="shared" si="96"/>
        <v>0</v>
      </c>
      <c r="U1214" s="162">
        <f>IF(S1214="nio",0,IF(S1214&gt;0,VLOOKUP(G1214,'3-Productie normen'!A:K,VLOOKUP(S1214,'3-Productie normen'!L:N,3,FALSE),FALSE)))</f>
        <v>0</v>
      </c>
      <c r="V1214" s="162">
        <f>VLOOKUP(G1214,'3-Productie normen'!A:K,10,FALSE)</f>
        <v>5262.809993648526</v>
      </c>
      <c r="W1214" s="163">
        <f>VLOOKUP(G1214,'3-Productie normen'!A:K,11,FALSE)</f>
        <v>0</v>
      </c>
      <c r="X1214" s="163"/>
      <c r="Z1214" s="129">
        <f t="shared" si="97"/>
        <v>0</v>
      </c>
    </row>
    <row r="1215" spans="1:26" ht="14.1" customHeight="1">
      <c r="A1215" s="144">
        <v>1253</v>
      </c>
      <c r="B1215" s="485" t="s">
        <v>235</v>
      </c>
      <c r="C1215" s="160" t="s">
        <v>515</v>
      </c>
      <c r="D1215" s="493" t="s">
        <v>98</v>
      </c>
      <c r="E1215" s="712" t="s">
        <v>479</v>
      </c>
      <c r="F1215" s="492" t="s">
        <v>341</v>
      </c>
      <c r="G1215" s="122" t="s">
        <v>190</v>
      </c>
      <c r="H1215" s="492" t="s">
        <v>100</v>
      </c>
      <c r="I1215" s="582" t="str">
        <f>VLOOKUP(H1215,'9a-Typen vloeren'!$A$10:$B$40,2,FALSE)</f>
        <v>Sprayen/ conserveren</v>
      </c>
      <c r="J1215" s="586">
        <v>4.320000171661377</v>
      </c>
      <c r="K1215" s="433">
        <f t="shared" si="98"/>
        <v>4.320000171661377</v>
      </c>
      <c r="L1215" s="433">
        <f t="shared" si="99"/>
        <v>0</v>
      </c>
      <c r="M1215" s="433">
        <f t="shared" si="100"/>
        <v>0</v>
      </c>
      <c r="N1215" s="672">
        <v>2</v>
      </c>
      <c r="O1215" s="729" t="e">
        <f>IF(N1215="",0,N1215*K1215/'9b-Vloeronderhoud'!$F$4)</f>
        <v>#DIV/0!</v>
      </c>
      <c r="P1215" s="672"/>
      <c r="Q1215" s="729" t="e">
        <f>IF(O1215="",0,P1215*L1215/'9b-Vloeronderhoud'!$F$6)</f>
        <v>#DIV/0!</v>
      </c>
      <c r="R1215" s="449">
        <v>1</v>
      </c>
      <c r="S1215" s="672">
        <v>40</v>
      </c>
      <c r="T1215" s="161" t="e">
        <f t="shared" si="96"/>
        <v>#DIV/0!</v>
      </c>
      <c r="U1215" s="162">
        <f>IF(S1215="nio",0,IF(S1215&gt;0,VLOOKUP(G1215,'3-Productie normen'!A:K,VLOOKUP(S1215,'3-Productie normen'!L:N,3,FALSE),FALSE)))</f>
        <v>0</v>
      </c>
      <c r="V1215" s="162">
        <f>VLOOKUP(G1215,'3-Productie normen'!A:K,10,FALSE)</f>
        <v>281.65000052452086</v>
      </c>
      <c r="W1215" s="163">
        <f>VLOOKUP(G1215,'3-Productie normen'!A:K,11,FALSE)</f>
        <v>0</v>
      </c>
      <c r="X1215" s="163"/>
      <c r="Z1215" s="129">
        <f t="shared" si="97"/>
        <v>172.80000686645508</v>
      </c>
    </row>
    <row r="1216" spans="1:26" ht="14.1" customHeight="1">
      <c r="A1216" s="144">
        <v>1254</v>
      </c>
      <c r="B1216" s="485" t="s">
        <v>235</v>
      </c>
      <c r="C1216" s="160" t="s">
        <v>515</v>
      </c>
      <c r="D1216" s="493" t="s">
        <v>98</v>
      </c>
      <c r="E1216" s="712" t="s">
        <v>482</v>
      </c>
      <c r="F1216" s="492" t="s">
        <v>281</v>
      </c>
      <c r="G1216" s="460" t="s">
        <v>881</v>
      </c>
      <c r="H1216" s="492" t="s">
        <v>100</v>
      </c>
      <c r="I1216" s="582" t="str">
        <f>VLOOKUP(H1216,'9a-Typen vloeren'!$A$10:$B$40,2,FALSE)</f>
        <v>Sprayen/ conserveren</v>
      </c>
      <c r="J1216" s="586">
        <v>1.4299999475479126</v>
      </c>
      <c r="K1216" s="433">
        <f t="shared" si="98"/>
        <v>0</v>
      </c>
      <c r="L1216" s="433">
        <f t="shared" si="99"/>
        <v>0</v>
      </c>
      <c r="M1216" s="433">
        <f t="shared" si="100"/>
        <v>0</v>
      </c>
      <c r="N1216" s="672"/>
      <c r="O1216" s="729">
        <f>IF(N1216="",0,N1216*K1216/'9b-Vloeronderhoud'!$F$4)</f>
        <v>0</v>
      </c>
      <c r="P1216" s="672"/>
      <c r="Q1216" s="729" t="e">
        <f>IF(O1216="",0,P1216*L1216/'9b-Vloeronderhoud'!$F$6)</f>
        <v>#DIV/0!</v>
      </c>
      <c r="R1216" s="449">
        <v>1</v>
      </c>
      <c r="S1216" s="672" t="s">
        <v>179</v>
      </c>
      <c r="T1216" s="161">
        <f t="shared" si="96"/>
        <v>0</v>
      </c>
      <c r="U1216" s="162">
        <f>IF(S1216="nio",0,IF(S1216&gt;0,VLOOKUP(G1216,'3-Productie normen'!A:K,VLOOKUP(S1216,'3-Productie normen'!L:N,3,FALSE),FALSE)))</f>
        <v>0</v>
      </c>
      <c r="V1216" s="162">
        <f>VLOOKUP(G1216,'3-Productie normen'!A:K,10,FALSE)</f>
        <v>5262.809993648526</v>
      </c>
      <c r="W1216" s="163">
        <f>VLOOKUP(G1216,'3-Productie normen'!A:K,11,FALSE)</f>
        <v>0</v>
      </c>
      <c r="X1216" s="163"/>
      <c r="Z1216" s="129">
        <f t="shared" si="97"/>
        <v>0</v>
      </c>
    </row>
    <row r="1217" spans="1:26" ht="14.1" customHeight="1">
      <c r="A1217" s="144">
        <v>1255</v>
      </c>
      <c r="B1217" s="485" t="s">
        <v>235</v>
      </c>
      <c r="C1217" s="160" t="s">
        <v>515</v>
      </c>
      <c r="D1217" s="493" t="s">
        <v>98</v>
      </c>
      <c r="E1217" s="712" t="s">
        <v>473</v>
      </c>
      <c r="F1217" s="492" t="s">
        <v>349</v>
      </c>
      <c r="G1217" s="126" t="s">
        <v>480</v>
      </c>
      <c r="H1217" s="492" t="s">
        <v>377</v>
      </c>
      <c r="I1217" s="582" t="str">
        <f>VLOOKUP(H1217,'9a-Typen vloeren'!$A$10:$B$40,2,FALSE)</f>
        <v>Schrobben</v>
      </c>
      <c r="J1217" s="586">
        <v>1.8200000524520874</v>
      </c>
      <c r="K1217" s="433">
        <f t="shared" si="98"/>
        <v>0</v>
      </c>
      <c r="L1217" s="433">
        <f t="shared" si="99"/>
        <v>1.8200000524520874</v>
      </c>
      <c r="M1217" s="433">
        <f t="shared" si="100"/>
        <v>0</v>
      </c>
      <c r="N1217" s="672"/>
      <c r="O1217" s="729">
        <f>IF(N1217="",0,N1217*K1217/'9b-Vloeronderhoud'!$F$4)</f>
        <v>0</v>
      </c>
      <c r="P1217" s="672"/>
      <c r="Q1217" s="729" t="e">
        <f>IF(O1217="",0,P1217*L1217/'9b-Vloeronderhoud'!$F$6)</f>
        <v>#DIV/0!</v>
      </c>
      <c r="R1217" s="449">
        <v>1</v>
      </c>
      <c r="S1217" s="672">
        <v>40</v>
      </c>
      <c r="T1217" s="161" t="e">
        <f t="shared" si="96"/>
        <v>#DIV/0!</v>
      </c>
      <c r="U1217" s="162">
        <f>IF(S1217="nio",0,IF(S1217&gt;0,VLOOKUP(G1217,'3-Productie normen'!A:K,VLOOKUP(S1217,'3-Productie normen'!L:N,3,FALSE),FALSE)))</f>
        <v>0</v>
      </c>
      <c r="V1217" s="162">
        <f>VLOOKUP(G1217,'3-Productie normen'!A:K,10,FALSE)</f>
        <v>31.690000023841854</v>
      </c>
      <c r="W1217" s="163">
        <f>VLOOKUP(G1217,'3-Productie normen'!A:K,11,FALSE)</f>
        <v>0</v>
      </c>
      <c r="X1217" s="163"/>
      <c r="Z1217" s="129">
        <f t="shared" si="97"/>
        <v>72.800002098083496</v>
      </c>
    </row>
    <row r="1218" spans="1:26" ht="14.1" customHeight="1">
      <c r="A1218" s="144">
        <v>1256</v>
      </c>
      <c r="B1218" s="485" t="s">
        <v>235</v>
      </c>
      <c r="C1218" s="160" t="s">
        <v>515</v>
      </c>
      <c r="D1218" s="493" t="s">
        <v>98</v>
      </c>
      <c r="E1218" s="712" t="s">
        <v>530</v>
      </c>
      <c r="F1218" s="492" t="s">
        <v>302</v>
      </c>
      <c r="G1218" s="122" t="s">
        <v>18</v>
      </c>
      <c r="H1218" s="524" t="s">
        <v>966</v>
      </c>
      <c r="I1218" s="582" t="str">
        <f>VLOOKUP(H1218,'9a-Typen vloeren'!$A$10:$B$40,2,FALSE)</f>
        <v>zie kwaliteitsontwerp</v>
      </c>
      <c r="J1218" s="586">
        <v>6.7199997901916504</v>
      </c>
      <c r="K1218" s="433">
        <f t="shared" si="98"/>
        <v>0</v>
      </c>
      <c r="L1218" s="433">
        <f t="shared" si="99"/>
        <v>0</v>
      </c>
      <c r="M1218" s="433">
        <f t="shared" si="100"/>
        <v>0</v>
      </c>
      <c r="N1218" s="672"/>
      <c r="O1218" s="729">
        <f>IF(N1218="",0,N1218*K1218/'9b-Vloeronderhoud'!$F$4)</f>
        <v>0</v>
      </c>
      <c r="P1218" s="672"/>
      <c r="Q1218" s="729" t="e">
        <f>IF(O1218="",0,P1218*L1218/'9b-Vloeronderhoud'!$F$6)</f>
        <v>#DIV/0!</v>
      </c>
      <c r="R1218" s="449">
        <v>1</v>
      </c>
      <c r="S1218" s="672">
        <v>190</v>
      </c>
      <c r="T1218" s="161" t="e">
        <f t="shared" si="96"/>
        <v>#DIV/0!</v>
      </c>
      <c r="U1218" s="162">
        <f>IF(S1218="nio",0,IF(S1218&gt;0,VLOOKUP(G1218,'3-Productie normen'!A:K,VLOOKUP(S1218,'3-Productie normen'!L:N,3,FALSE),FALSE)))</f>
        <v>0</v>
      </c>
      <c r="V1218" s="162">
        <f>VLOOKUP(G1218,'3-Productie normen'!A:K,10,FALSE)</f>
        <v>1859.5880019121171</v>
      </c>
      <c r="W1218" s="163">
        <f>VLOOKUP(G1218,'3-Productie normen'!A:K,11,FALSE)</f>
        <v>0</v>
      </c>
      <c r="X1218" s="163"/>
      <c r="Z1218" s="129">
        <f t="shared" si="97"/>
        <v>1276.7999601364136</v>
      </c>
    </row>
    <row r="1219" spans="1:26" ht="14.1" customHeight="1">
      <c r="A1219" s="144">
        <v>1257</v>
      </c>
      <c r="B1219" s="485" t="s">
        <v>235</v>
      </c>
      <c r="C1219" s="160" t="s">
        <v>515</v>
      </c>
      <c r="D1219" s="493" t="s">
        <v>98</v>
      </c>
      <c r="E1219" s="712" t="s">
        <v>531</v>
      </c>
      <c r="F1219" s="492" t="s">
        <v>302</v>
      </c>
      <c r="G1219" s="122" t="s">
        <v>18</v>
      </c>
      <c r="H1219" s="524" t="s">
        <v>966</v>
      </c>
      <c r="I1219" s="582" t="str">
        <f>VLOOKUP(H1219,'9a-Typen vloeren'!$A$10:$B$40,2,FALSE)</f>
        <v>zie kwaliteitsontwerp</v>
      </c>
      <c r="J1219" s="586">
        <v>6.7199997901916504</v>
      </c>
      <c r="K1219" s="433">
        <f t="shared" si="98"/>
        <v>0</v>
      </c>
      <c r="L1219" s="433">
        <f t="shared" si="99"/>
        <v>0</v>
      </c>
      <c r="M1219" s="433">
        <f t="shared" si="100"/>
        <v>0</v>
      </c>
      <c r="N1219" s="672"/>
      <c r="O1219" s="729">
        <f>IF(N1219="",0,N1219*K1219/'9b-Vloeronderhoud'!$F$4)</f>
        <v>0</v>
      </c>
      <c r="P1219" s="672"/>
      <c r="Q1219" s="729" t="e">
        <f>IF(O1219="",0,P1219*L1219/'9b-Vloeronderhoud'!$F$6)</f>
        <v>#DIV/0!</v>
      </c>
      <c r="R1219" s="449">
        <v>1</v>
      </c>
      <c r="S1219" s="672">
        <v>190</v>
      </c>
      <c r="T1219" s="161" t="e">
        <f t="shared" si="96"/>
        <v>#DIV/0!</v>
      </c>
      <c r="U1219" s="162">
        <f>IF(S1219="nio",0,IF(S1219&gt;0,VLOOKUP(G1219,'3-Productie normen'!A:K,VLOOKUP(S1219,'3-Productie normen'!L:N,3,FALSE),FALSE)))</f>
        <v>0</v>
      </c>
      <c r="V1219" s="162">
        <f>VLOOKUP(G1219,'3-Productie normen'!A:K,10,FALSE)</f>
        <v>1859.5880019121171</v>
      </c>
      <c r="W1219" s="163">
        <f>VLOOKUP(G1219,'3-Productie normen'!A:K,11,FALSE)</f>
        <v>0</v>
      </c>
      <c r="X1219" s="163"/>
      <c r="Z1219" s="129">
        <f t="shared" si="97"/>
        <v>1276.7999601364136</v>
      </c>
    </row>
    <row r="1220" spans="1:26" ht="14.1" customHeight="1">
      <c r="A1220" s="144">
        <v>1258</v>
      </c>
      <c r="B1220" s="485" t="s">
        <v>235</v>
      </c>
      <c r="C1220" s="160" t="s">
        <v>515</v>
      </c>
      <c r="D1220" s="493" t="s">
        <v>98</v>
      </c>
      <c r="E1220" s="712" t="s">
        <v>532</v>
      </c>
      <c r="F1220" s="492" t="s">
        <v>221</v>
      </c>
      <c r="G1220" s="546" t="s">
        <v>221</v>
      </c>
      <c r="H1220" s="492" t="s">
        <v>100</v>
      </c>
      <c r="I1220" s="582" t="str">
        <f>VLOOKUP(H1220,'9a-Typen vloeren'!$A$10:$B$40,2,FALSE)</f>
        <v>Sprayen/ conserveren</v>
      </c>
      <c r="J1220" s="586">
        <v>57.799999237060547</v>
      </c>
      <c r="K1220" s="433">
        <f t="shared" si="98"/>
        <v>57.799999237060547</v>
      </c>
      <c r="L1220" s="433">
        <f t="shared" si="99"/>
        <v>0</v>
      </c>
      <c r="M1220" s="433">
        <f t="shared" si="100"/>
        <v>0</v>
      </c>
      <c r="N1220" s="672"/>
      <c r="O1220" s="729">
        <f>IF(N1220="",0,N1220*K1220/'9b-Vloeronderhoud'!$F$4)</f>
        <v>0</v>
      </c>
      <c r="P1220" s="672"/>
      <c r="Q1220" s="729" t="e">
        <f>IF(O1220="",0,P1220*L1220/'9b-Vloeronderhoud'!$F$6)</f>
        <v>#DIV/0!</v>
      </c>
      <c r="R1220" s="449">
        <v>1</v>
      </c>
      <c r="S1220" s="672">
        <v>80</v>
      </c>
      <c r="T1220" s="161" t="e">
        <f t="shared" si="96"/>
        <v>#DIV/0!</v>
      </c>
      <c r="U1220" s="162">
        <f>IF(S1220="nio",0,IF(S1220&gt;0,VLOOKUP(G1220,'3-Productie normen'!A:K,VLOOKUP(S1220,'3-Productie normen'!L:N,3,FALSE),FALSE)))</f>
        <v>0</v>
      </c>
      <c r="V1220" s="162">
        <f>VLOOKUP(G1220,'3-Productie normen'!A:K,10,FALSE)</f>
        <v>16013.110036668773</v>
      </c>
      <c r="W1220" s="163">
        <f>VLOOKUP(G1220,'3-Productie normen'!A:K,11,FALSE)</f>
        <v>0</v>
      </c>
      <c r="X1220" s="163"/>
      <c r="Z1220" s="129">
        <f t="shared" si="97"/>
        <v>4623.9999389648438</v>
      </c>
    </row>
    <row r="1221" spans="1:26" ht="14.1" customHeight="1">
      <c r="A1221" s="144">
        <v>1259</v>
      </c>
      <c r="B1221" s="485" t="s">
        <v>235</v>
      </c>
      <c r="C1221" s="160" t="s">
        <v>515</v>
      </c>
      <c r="D1221" s="493" t="s">
        <v>98</v>
      </c>
      <c r="E1221" s="712" t="s">
        <v>533</v>
      </c>
      <c r="F1221" s="492" t="s">
        <v>282</v>
      </c>
      <c r="G1221" s="460" t="s">
        <v>881</v>
      </c>
      <c r="H1221" s="492" t="s">
        <v>100</v>
      </c>
      <c r="I1221" s="582" t="str">
        <f>VLOOKUP(H1221,'9a-Typen vloeren'!$A$10:$B$40,2,FALSE)</f>
        <v>Sprayen/ conserveren</v>
      </c>
      <c r="J1221" s="586">
        <v>12.479999542236328</v>
      </c>
      <c r="K1221" s="433">
        <f t="shared" si="98"/>
        <v>0</v>
      </c>
      <c r="L1221" s="433">
        <f t="shared" si="99"/>
        <v>0</v>
      </c>
      <c r="M1221" s="433">
        <f t="shared" si="100"/>
        <v>0</v>
      </c>
      <c r="N1221" s="672"/>
      <c r="O1221" s="729">
        <f>IF(N1221="",0,N1221*K1221/'9b-Vloeronderhoud'!$F$4)</f>
        <v>0</v>
      </c>
      <c r="P1221" s="672"/>
      <c r="Q1221" s="729" t="e">
        <f>IF(O1221="",0,P1221*L1221/'9b-Vloeronderhoud'!$F$6)</f>
        <v>#DIV/0!</v>
      </c>
      <c r="R1221" s="449">
        <v>1</v>
      </c>
      <c r="S1221" s="672" t="s">
        <v>179</v>
      </c>
      <c r="T1221" s="161">
        <f t="shared" si="96"/>
        <v>0</v>
      </c>
      <c r="U1221" s="162">
        <f>IF(S1221="nio",0,IF(S1221&gt;0,VLOOKUP(G1221,'3-Productie normen'!A:K,VLOOKUP(S1221,'3-Productie normen'!L:N,3,FALSE),FALSE)))</f>
        <v>0</v>
      </c>
      <c r="V1221" s="162">
        <f>VLOOKUP(G1221,'3-Productie normen'!A:K,10,FALSE)</f>
        <v>5262.809993648526</v>
      </c>
      <c r="W1221" s="163">
        <f>VLOOKUP(G1221,'3-Productie normen'!A:K,11,FALSE)</f>
        <v>0</v>
      </c>
      <c r="X1221" s="163"/>
      <c r="Z1221" s="129">
        <f t="shared" si="97"/>
        <v>0</v>
      </c>
    </row>
    <row r="1222" spans="1:26" ht="14.1" customHeight="1">
      <c r="A1222" s="144">
        <v>1260</v>
      </c>
      <c r="B1222" s="485" t="s">
        <v>235</v>
      </c>
      <c r="C1222" s="160" t="s">
        <v>515</v>
      </c>
      <c r="D1222" s="493" t="s">
        <v>98</v>
      </c>
      <c r="E1222" s="712" t="s">
        <v>534</v>
      </c>
      <c r="F1222" s="492" t="s">
        <v>221</v>
      </c>
      <c r="G1222" s="460" t="s">
        <v>221</v>
      </c>
      <c r="H1222" s="492" t="s">
        <v>100</v>
      </c>
      <c r="I1222" s="582" t="str">
        <f>VLOOKUP(H1222,'9a-Typen vloeren'!$A$10:$B$40,2,FALSE)</f>
        <v>Sprayen/ conserveren</v>
      </c>
      <c r="J1222" s="586">
        <v>57.799999237060547</v>
      </c>
      <c r="K1222" s="433">
        <f t="shared" si="98"/>
        <v>57.799999237060547</v>
      </c>
      <c r="L1222" s="433">
        <f t="shared" si="99"/>
        <v>0</v>
      </c>
      <c r="M1222" s="433">
        <f t="shared" si="100"/>
        <v>0</v>
      </c>
      <c r="N1222" s="672"/>
      <c r="O1222" s="729">
        <f>IF(N1222="",0,N1222*K1222/'9b-Vloeronderhoud'!$F$4)</f>
        <v>0</v>
      </c>
      <c r="P1222" s="672"/>
      <c r="Q1222" s="729" t="e">
        <f>IF(O1222="",0,P1222*L1222/'9b-Vloeronderhoud'!$F$6)</f>
        <v>#DIV/0!</v>
      </c>
      <c r="R1222" s="449">
        <v>1</v>
      </c>
      <c r="S1222" s="672">
        <v>80</v>
      </c>
      <c r="T1222" s="161" t="e">
        <f t="shared" si="96"/>
        <v>#DIV/0!</v>
      </c>
      <c r="U1222" s="162">
        <f>IF(S1222="nio",0,IF(S1222&gt;0,VLOOKUP(G1222,'3-Productie normen'!A:K,VLOOKUP(S1222,'3-Productie normen'!L:N,3,FALSE),FALSE)))</f>
        <v>0</v>
      </c>
      <c r="V1222" s="162">
        <f>VLOOKUP(G1222,'3-Productie normen'!A:K,10,FALSE)</f>
        <v>16013.110036668773</v>
      </c>
      <c r="W1222" s="163">
        <f>VLOOKUP(G1222,'3-Productie normen'!A:K,11,FALSE)</f>
        <v>0</v>
      </c>
      <c r="X1222" s="163"/>
      <c r="Z1222" s="129">
        <f t="shared" si="97"/>
        <v>4623.9999389648438</v>
      </c>
    </row>
    <row r="1223" spans="1:26" ht="14.1" customHeight="1">
      <c r="A1223" s="144">
        <v>1261</v>
      </c>
      <c r="B1223" s="485" t="s">
        <v>235</v>
      </c>
      <c r="C1223" s="160" t="s">
        <v>515</v>
      </c>
      <c r="D1223" s="493" t="s">
        <v>98</v>
      </c>
      <c r="E1223" s="712" t="s">
        <v>500</v>
      </c>
      <c r="F1223" s="492" t="s">
        <v>282</v>
      </c>
      <c r="G1223" s="460" t="s">
        <v>881</v>
      </c>
      <c r="H1223" s="492" t="s">
        <v>100</v>
      </c>
      <c r="I1223" s="582" t="str">
        <f>VLOOKUP(H1223,'9a-Typen vloeren'!$A$10:$B$40,2,FALSE)</f>
        <v>Sprayen/ conserveren</v>
      </c>
      <c r="J1223" s="586">
        <v>6.7600002288818359</v>
      </c>
      <c r="K1223" s="433">
        <f t="shared" si="98"/>
        <v>0</v>
      </c>
      <c r="L1223" s="433">
        <f t="shared" si="99"/>
        <v>0</v>
      </c>
      <c r="M1223" s="433">
        <f t="shared" si="100"/>
        <v>0</v>
      </c>
      <c r="N1223" s="672"/>
      <c r="O1223" s="729">
        <f>IF(N1223="",0,N1223*K1223/'9b-Vloeronderhoud'!$F$4)</f>
        <v>0</v>
      </c>
      <c r="P1223" s="672"/>
      <c r="Q1223" s="729" t="e">
        <f>IF(O1223="",0,P1223*L1223/'9b-Vloeronderhoud'!$F$6)</f>
        <v>#DIV/0!</v>
      </c>
      <c r="R1223" s="449">
        <v>1</v>
      </c>
      <c r="S1223" s="672" t="s">
        <v>179</v>
      </c>
      <c r="T1223" s="161">
        <f t="shared" si="96"/>
        <v>0</v>
      </c>
      <c r="U1223" s="162">
        <f>IF(S1223="nio",0,IF(S1223&gt;0,VLOOKUP(G1223,'3-Productie normen'!A:K,VLOOKUP(S1223,'3-Productie normen'!L:N,3,FALSE),FALSE)))</f>
        <v>0</v>
      </c>
      <c r="V1223" s="162">
        <f>VLOOKUP(G1223,'3-Productie normen'!A:K,10,FALSE)</f>
        <v>5262.809993648526</v>
      </c>
      <c r="W1223" s="163">
        <f>VLOOKUP(G1223,'3-Productie normen'!A:K,11,FALSE)</f>
        <v>0</v>
      </c>
      <c r="X1223" s="163"/>
      <c r="Z1223" s="129">
        <f t="shared" si="97"/>
        <v>0</v>
      </c>
    </row>
    <row r="1224" spans="1:26" ht="14.1" customHeight="1">
      <c r="A1224" s="144">
        <v>1262</v>
      </c>
      <c r="B1224" s="485" t="s">
        <v>235</v>
      </c>
      <c r="C1224" s="160" t="s">
        <v>515</v>
      </c>
      <c r="D1224" s="493" t="s">
        <v>98</v>
      </c>
      <c r="E1224" s="712" t="s">
        <v>498</v>
      </c>
      <c r="F1224" s="303" t="s">
        <v>281</v>
      </c>
      <c r="G1224" s="460" t="s">
        <v>881</v>
      </c>
      <c r="H1224" s="303" t="s">
        <v>332</v>
      </c>
      <c r="I1224" s="582" t="str">
        <f>VLOOKUP(H1224,'9a-Typen vloeren'!$A$10:$B$40,2,FALSE)</f>
        <v>Sproei/extraheren</v>
      </c>
      <c r="J1224" s="586">
        <v>5.7199997901916504</v>
      </c>
      <c r="K1224" s="433">
        <f t="shared" si="98"/>
        <v>0</v>
      </c>
      <c r="L1224" s="433">
        <f t="shared" si="99"/>
        <v>0</v>
      </c>
      <c r="M1224" s="433">
        <f t="shared" si="100"/>
        <v>0</v>
      </c>
      <c r="N1224" s="672"/>
      <c r="O1224" s="729">
        <f>IF(N1224="",0,N1224*K1224/'9b-Vloeronderhoud'!$F$4)</f>
        <v>0</v>
      </c>
      <c r="P1224" s="672"/>
      <c r="Q1224" s="729" t="e">
        <f>IF(O1224="",0,P1224*L1224/'9b-Vloeronderhoud'!$F$6)</f>
        <v>#DIV/0!</v>
      </c>
      <c r="R1224" s="449">
        <v>1</v>
      </c>
      <c r="S1224" s="672" t="s">
        <v>179</v>
      </c>
      <c r="T1224" s="161">
        <f t="shared" si="96"/>
        <v>0</v>
      </c>
      <c r="U1224" s="162">
        <f>IF(S1224="nio",0,IF(S1224&gt;0,VLOOKUP(G1224,'3-Productie normen'!A:K,VLOOKUP(S1224,'3-Productie normen'!L:N,3,FALSE),FALSE)))</f>
        <v>0</v>
      </c>
      <c r="V1224" s="162">
        <f>VLOOKUP(G1224,'3-Productie normen'!A:K,10,FALSE)</f>
        <v>5262.809993648526</v>
      </c>
      <c r="W1224" s="163">
        <f>VLOOKUP(G1224,'3-Productie normen'!A:K,11,FALSE)</f>
        <v>0</v>
      </c>
      <c r="X1224" s="163"/>
      <c r="Z1224" s="129">
        <f t="shared" si="97"/>
        <v>0</v>
      </c>
    </row>
    <row r="1225" spans="1:26" ht="14.1" customHeight="1">
      <c r="A1225" s="144">
        <v>1263</v>
      </c>
      <c r="B1225" s="485" t="s">
        <v>235</v>
      </c>
      <c r="C1225" s="160" t="s">
        <v>515</v>
      </c>
      <c r="D1225" s="493" t="s">
        <v>98</v>
      </c>
      <c r="E1225" s="712" t="s">
        <v>513</v>
      </c>
      <c r="F1225" s="492" t="s">
        <v>284</v>
      </c>
      <c r="G1225" s="546" t="s">
        <v>99</v>
      </c>
      <c r="H1225" s="303" t="s">
        <v>332</v>
      </c>
      <c r="I1225" s="582" t="str">
        <f>VLOOKUP(H1225,'9a-Typen vloeren'!$A$10:$B$40,2,FALSE)</f>
        <v>Sproei/extraheren</v>
      </c>
      <c r="J1225" s="586">
        <v>4</v>
      </c>
      <c r="K1225" s="433">
        <f t="shared" si="98"/>
        <v>0</v>
      </c>
      <c r="L1225" s="433">
        <f t="shared" si="99"/>
        <v>0</v>
      </c>
      <c r="M1225" s="433">
        <f t="shared" si="100"/>
        <v>4</v>
      </c>
      <c r="N1225" s="672"/>
      <c r="O1225" s="729">
        <f>IF(N1225="",0,N1225*K1225/'9b-Vloeronderhoud'!$F$4)</f>
        <v>0</v>
      </c>
      <c r="P1225" s="672"/>
      <c r="Q1225" s="729" t="e">
        <f>IF(O1225="",0,P1225*L1225/'9b-Vloeronderhoud'!$F$6)</f>
        <v>#DIV/0!</v>
      </c>
      <c r="R1225" s="449">
        <v>1</v>
      </c>
      <c r="S1225" s="672">
        <v>190</v>
      </c>
      <c r="T1225" s="161" t="e">
        <f t="shared" si="96"/>
        <v>#DIV/0!</v>
      </c>
      <c r="U1225" s="162">
        <f>IF(S1225="nio",0,IF(S1225&gt;0,VLOOKUP(G1225,'3-Productie normen'!A:K,VLOOKUP(S1225,'3-Productie normen'!L:N,3,FALSE),FALSE)))</f>
        <v>0</v>
      </c>
      <c r="V1225" s="162">
        <f>VLOOKUP(G1225,'3-Productie normen'!A:K,10,FALSE)</f>
        <v>726.97999910354622</v>
      </c>
      <c r="W1225" s="163">
        <f>VLOOKUP(G1225,'3-Productie normen'!A:K,11,FALSE)</f>
        <v>0</v>
      </c>
      <c r="X1225" s="163"/>
      <c r="Z1225" s="129">
        <f t="shared" si="97"/>
        <v>760</v>
      </c>
    </row>
    <row r="1226" spans="1:26" ht="14.1" customHeight="1">
      <c r="A1226" s="144">
        <v>1264</v>
      </c>
      <c r="B1226" s="485" t="s">
        <v>235</v>
      </c>
      <c r="C1226" s="160" t="s">
        <v>515</v>
      </c>
      <c r="D1226" s="493" t="s">
        <v>98</v>
      </c>
      <c r="E1226" s="712" t="s">
        <v>503</v>
      </c>
      <c r="F1226" s="492" t="s">
        <v>221</v>
      </c>
      <c r="G1226" s="122" t="s">
        <v>221</v>
      </c>
      <c r="H1226" s="492" t="s">
        <v>100</v>
      </c>
      <c r="I1226" s="582" t="str">
        <f>VLOOKUP(H1226,'9a-Typen vloeren'!$A$10:$B$40,2,FALSE)</f>
        <v>Sprayen/ conserveren</v>
      </c>
      <c r="J1226" s="586">
        <v>56.5</v>
      </c>
      <c r="K1226" s="433">
        <f t="shared" si="98"/>
        <v>56.5</v>
      </c>
      <c r="L1226" s="433">
        <f t="shared" si="99"/>
        <v>0</v>
      </c>
      <c r="M1226" s="433">
        <f t="shared" si="100"/>
        <v>0</v>
      </c>
      <c r="N1226" s="672"/>
      <c r="O1226" s="729">
        <f>IF(N1226="",0,N1226*K1226/'9b-Vloeronderhoud'!$F$4)</f>
        <v>0</v>
      </c>
      <c r="P1226" s="672"/>
      <c r="Q1226" s="729" t="e">
        <f>IF(O1226="",0,P1226*L1226/'9b-Vloeronderhoud'!$F$6)</f>
        <v>#DIV/0!</v>
      </c>
      <c r="R1226" s="449">
        <v>1</v>
      </c>
      <c r="S1226" s="672">
        <v>80</v>
      </c>
      <c r="T1226" s="161" t="e">
        <f t="shared" ref="T1226:T1289" si="101">IF(S1226="nio",0,IF(S1226&gt;0,S1226*J1226/U1226,0))*R1226</f>
        <v>#DIV/0!</v>
      </c>
      <c r="U1226" s="162">
        <f>IF(S1226="nio",0,IF(S1226&gt;0,VLOOKUP(G1226,'3-Productie normen'!A:K,VLOOKUP(S1226,'3-Productie normen'!L:N,3,FALSE),FALSE)))</f>
        <v>0</v>
      </c>
      <c r="V1226" s="162">
        <f>VLOOKUP(G1226,'3-Productie normen'!A:K,10,FALSE)</f>
        <v>16013.110036668773</v>
      </c>
      <c r="W1226" s="163">
        <f>VLOOKUP(G1226,'3-Productie normen'!A:K,11,FALSE)</f>
        <v>0</v>
      </c>
      <c r="X1226" s="163"/>
      <c r="Z1226" s="129">
        <f t="shared" ref="Z1226:Z1289" si="102">SUM(S1226:S1226)*J1226</f>
        <v>4520</v>
      </c>
    </row>
    <row r="1227" spans="1:26" ht="14.1" customHeight="1">
      <c r="A1227" s="144">
        <v>1265</v>
      </c>
      <c r="B1227" s="485" t="s">
        <v>235</v>
      </c>
      <c r="C1227" s="160" t="s">
        <v>515</v>
      </c>
      <c r="D1227" s="493" t="s">
        <v>98</v>
      </c>
      <c r="E1227" s="712" t="s">
        <v>505</v>
      </c>
      <c r="F1227" s="492" t="s">
        <v>863</v>
      </c>
      <c r="G1227" s="460" t="s">
        <v>299</v>
      </c>
      <c r="H1227" s="492" t="s">
        <v>100</v>
      </c>
      <c r="I1227" s="582" t="str">
        <f>VLOOKUP(H1227,'9a-Typen vloeren'!$A$10:$B$40,2,FALSE)</f>
        <v>Sprayen/ conserveren</v>
      </c>
      <c r="J1227" s="586">
        <v>28</v>
      </c>
      <c r="K1227" s="433">
        <f t="shared" si="98"/>
        <v>28</v>
      </c>
      <c r="L1227" s="433">
        <f t="shared" si="99"/>
        <v>0</v>
      </c>
      <c r="M1227" s="433">
        <f t="shared" si="100"/>
        <v>0</v>
      </c>
      <c r="N1227" s="672"/>
      <c r="O1227" s="729">
        <f>IF(N1227="",0,N1227*K1227/'9b-Vloeronderhoud'!$F$4)</f>
        <v>0</v>
      </c>
      <c r="P1227" s="672"/>
      <c r="Q1227" s="729" t="e">
        <f>IF(O1227="",0,P1227*L1227/'9b-Vloeronderhoud'!$F$6)</f>
        <v>#DIV/0!</v>
      </c>
      <c r="R1227" s="449">
        <v>1</v>
      </c>
      <c r="S1227" s="672">
        <v>40</v>
      </c>
      <c r="T1227" s="161" t="e">
        <f t="shared" si="101"/>
        <v>#DIV/0!</v>
      </c>
      <c r="U1227" s="162">
        <f>IF(S1227="nio",0,IF(S1227&gt;0,VLOOKUP(G1227,'3-Productie normen'!A:K,VLOOKUP(S1227,'3-Productie normen'!L:N,3,FALSE),FALSE)))</f>
        <v>0</v>
      </c>
      <c r="V1227" s="162">
        <f>VLOOKUP(G1227,'3-Productie normen'!A:K,10,FALSE)</f>
        <v>1107.9100014114381</v>
      </c>
      <c r="W1227" s="163">
        <f>VLOOKUP(G1227,'3-Productie normen'!A:K,11,FALSE)</f>
        <v>0</v>
      </c>
      <c r="X1227" s="163"/>
      <c r="Z1227" s="129">
        <f t="shared" si="102"/>
        <v>1120</v>
      </c>
    </row>
    <row r="1228" spans="1:26" ht="14.1" customHeight="1">
      <c r="A1228" s="144">
        <v>1266</v>
      </c>
      <c r="B1228" s="485" t="s">
        <v>235</v>
      </c>
      <c r="C1228" s="160" t="s">
        <v>515</v>
      </c>
      <c r="D1228" s="493" t="s">
        <v>98</v>
      </c>
      <c r="E1228" s="712" t="s">
        <v>497</v>
      </c>
      <c r="F1228" s="492" t="s">
        <v>404</v>
      </c>
      <c r="G1228" s="460" t="s">
        <v>286</v>
      </c>
      <c r="H1228" s="492" t="s">
        <v>100</v>
      </c>
      <c r="I1228" s="582" t="str">
        <f>VLOOKUP(H1228,'9a-Typen vloeren'!$A$10:$B$40,2,FALSE)</f>
        <v>Sprayen/ conserveren</v>
      </c>
      <c r="J1228" s="586">
        <v>6.5999999046325684</v>
      </c>
      <c r="K1228" s="433">
        <f t="shared" si="98"/>
        <v>6.5999999046325684</v>
      </c>
      <c r="L1228" s="433">
        <f t="shared" si="99"/>
        <v>0</v>
      </c>
      <c r="M1228" s="433">
        <f t="shared" si="100"/>
        <v>0</v>
      </c>
      <c r="N1228" s="672">
        <v>2</v>
      </c>
      <c r="O1228" s="729" t="e">
        <f>IF(N1228="",0,N1228*K1228/'9b-Vloeronderhoud'!$F$4)</f>
        <v>#DIV/0!</v>
      </c>
      <c r="P1228" s="672"/>
      <c r="Q1228" s="729" t="e">
        <f>IF(O1228="",0,P1228*L1228/'9b-Vloeronderhoud'!$F$6)</f>
        <v>#DIV/0!</v>
      </c>
      <c r="R1228" s="449">
        <v>1</v>
      </c>
      <c r="S1228" s="672">
        <v>120</v>
      </c>
      <c r="T1228" s="161" t="e">
        <f t="shared" si="101"/>
        <v>#DIV/0!</v>
      </c>
      <c r="U1228" s="162">
        <f>IF(S1228="nio",0,IF(S1228&gt;0,VLOOKUP(G1228,'3-Productie normen'!A:K,VLOOKUP(S1228,'3-Productie normen'!L:N,3,FALSE),FALSE)))</f>
        <v>0</v>
      </c>
      <c r="V1228" s="162">
        <f>VLOOKUP(G1228,'3-Productie normen'!A:K,10,FALSE)</f>
        <v>6152.9500017547598</v>
      </c>
      <c r="W1228" s="163">
        <f>VLOOKUP(G1228,'3-Productie normen'!A:K,11,FALSE)</f>
        <v>0</v>
      </c>
      <c r="X1228" s="163"/>
      <c r="Z1228" s="129">
        <f t="shared" si="102"/>
        <v>791.9999885559082</v>
      </c>
    </row>
    <row r="1229" spans="1:26" ht="14.1" customHeight="1">
      <c r="A1229" s="144">
        <v>1267</v>
      </c>
      <c r="B1229" s="485" t="s">
        <v>235</v>
      </c>
      <c r="C1229" s="160" t="s">
        <v>515</v>
      </c>
      <c r="D1229" s="493" t="s">
        <v>98</v>
      </c>
      <c r="E1229" s="712" t="s">
        <v>494</v>
      </c>
      <c r="F1229" s="492" t="s">
        <v>864</v>
      </c>
      <c r="G1229" s="460" t="s">
        <v>189</v>
      </c>
      <c r="H1229" s="492" t="s">
        <v>100</v>
      </c>
      <c r="I1229" s="582" t="str">
        <f>VLOOKUP(H1229,'9a-Typen vloeren'!$A$10:$B$40,2,FALSE)</f>
        <v>Sprayen/ conserveren</v>
      </c>
      <c r="J1229" s="586">
        <v>14.800000190734863</v>
      </c>
      <c r="K1229" s="433">
        <f t="shared" si="98"/>
        <v>14.800000190734863</v>
      </c>
      <c r="L1229" s="433">
        <f t="shared" si="99"/>
        <v>0</v>
      </c>
      <c r="M1229" s="433">
        <f t="shared" si="100"/>
        <v>0</v>
      </c>
      <c r="N1229" s="672"/>
      <c r="O1229" s="729">
        <f>IF(N1229="",0,N1229*K1229/'9b-Vloeronderhoud'!$F$4)</f>
        <v>0</v>
      </c>
      <c r="P1229" s="672"/>
      <c r="Q1229" s="729" t="e">
        <f>IF(O1229="",0,P1229*L1229/'9b-Vloeronderhoud'!$F$6)</f>
        <v>#DIV/0!</v>
      </c>
      <c r="R1229" s="449">
        <v>1</v>
      </c>
      <c r="S1229" s="672">
        <v>40</v>
      </c>
      <c r="T1229" s="161" t="e">
        <f t="shared" si="101"/>
        <v>#DIV/0!</v>
      </c>
      <c r="U1229" s="162">
        <f>IF(S1229="nio",0,IF(S1229&gt;0,VLOOKUP(G1229,'3-Productie normen'!A:K,VLOOKUP(S1229,'3-Productie normen'!L:N,3,FALSE),FALSE)))</f>
        <v>0</v>
      </c>
      <c r="V1229" s="162">
        <f>VLOOKUP(G1229,'3-Productie normen'!A:K,10,FALSE)</f>
        <v>1494.1700078582762</v>
      </c>
      <c r="W1229" s="163">
        <f>VLOOKUP(G1229,'3-Productie normen'!A:K,11,FALSE)</f>
        <v>0</v>
      </c>
      <c r="X1229" s="163"/>
      <c r="Z1229" s="129">
        <f t="shared" si="102"/>
        <v>592.00000762939453</v>
      </c>
    </row>
    <row r="1230" spans="1:26" ht="14.1" customHeight="1">
      <c r="A1230" s="144">
        <v>1268</v>
      </c>
      <c r="B1230" s="485" t="s">
        <v>235</v>
      </c>
      <c r="C1230" s="160" t="s">
        <v>515</v>
      </c>
      <c r="D1230" s="493" t="s">
        <v>98</v>
      </c>
      <c r="E1230" s="712" t="s">
        <v>493</v>
      </c>
      <c r="F1230" s="492" t="s">
        <v>535</v>
      </c>
      <c r="G1230" s="516" t="s">
        <v>191</v>
      </c>
      <c r="H1230" s="524" t="s">
        <v>100</v>
      </c>
      <c r="I1230" s="582" t="str">
        <f>VLOOKUP(H1230,'9a-Typen vloeren'!$A$10:$B$40,2,FALSE)</f>
        <v>Sprayen/ conserveren</v>
      </c>
      <c r="J1230" s="586">
        <v>6.5999999046325684</v>
      </c>
      <c r="K1230" s="433">
        <f t="shared" si="98"/>
        <v>6.5999999046325684</v>
      </c>
      <c r="L1230" s="433">
        <f t="shared" si="99"/>
        <v>0</v>
      </c>
      <c r="M1230" s="433">
        <f t="shared" si="100"/>
        <v>0</v>
      </c>
      <c r="N1230" s="672"/>
      <c r="O1230" s="729">
        <f>IF(N1230="",0,N1230*K1230/'9b-Vloeronderhoud'!$F$4)</f>
        <v>0</v>
      </c>
      <c r="P1230" s="672"/>
      <c r="Q1230" s="729" t="e">
        <f>IF(O1230="",0,P1230*L1230/'9b-Vloeronderhoud'!$F$6)</f>
        <v>#DIV/0!</v>
      </c>
      <c r="R1230" s="449">
        <v>1</v>
      </c>
      <c r="S1230" s="672">
        <v>40</v>
      </c>
      <c r="T1230" s="161" t="e">
        <f t="shared" si="101"/>
        <v>#DIV/0!</v>
      </c>
      <c r="U1230" s="162">
        <f>IF(S1230="nio",0,IF(S1230&gt;0,VLOOKUP(G1230,'3-Productie normen'!A:K,VLOOKUP(S1230,'3-Productie normen'!L:N,3,FALSE),FALSE)))</f>
        <v>0</v>
      </c>
      <c r="V1230" s="162">
        <f>VLOOKUP(G1230,'3-Productie normen'!A:K,10,FALSE)</f>
        <v>314.55999933242794</v>
      </c>
      <c r="W1230" s="163">
        <f>VLOOKUP(G1230,'3-Productie normen'!A:K,11,FALSE)</f>
        <v>0</v>
      </c>
      <c r="X1230" s="163"/>
      <c r="Z1230" s="129">
        <f t="shared" si="102"/>
        <v>263.99999618530273</v>
      </c>
    </row>
    <row r="1231" spans="1:26" ht="14.1" customHeight="1">
      <c r="A1231" s="144">
        <v>1269</v>
      </c>
      <c r="B1231" s="485" t="s">
        <v>235</v>
      </c>
      <c r="C1231" s="160" t="s">
        <v>515</v>
      </c>
      <c r="D1231" s="493" t="s">
        <v>98</v>
      </c>
      <c r="E1231" s="712" t="s">
        <v>491</v>
      </c>
      <c r="F1231" s="492" t="s">
        <v>611</v>
      </c>
      <c r="G1231" s="460" t="s">
        <v>286</v>
      </c>
      <c r="H1231" s="492" t="s">
        <v>100</v>
      </c>
      <c r="I1231" s="582" t="str">
        <f>VLOOKUP(H1231,'9a-Typen vloeren'!$A$10:$B$40,2,FALSE)</f>
        <v>Sprayen/ conserveren</v>
      </c>
      <c r="J1231" s="586">
        <v>9.5</v>
      </c>
      <c r="K1231" s="433">
        <f t="shared" si="98"/>
        <v>9.5</v>
      </c>
      <c r="L1231" s="433">
        <f t="shared" si="99"/>
        <v>0</v>
      </c>
      <c r="M1231" s="433">
        <f t="shared" si="100"/>
        <v>0</v>
      </c>
      <c r="N1231" s="672"/>
      <c r="O1231" s="729">
        <f>IF(N1231="",0,N1231*K1231/'9b-Vloeronderhoud'!$F$4)</f>
        <v>0</v>
      </c>
      <c r="P1231" s="672"/>
      <c r="Q1231" s="729" t="e">
        <f>IF(O1231="",0,P1231*L1231/'9b-Vloeronderhoud'!$F$6)</f>
        <v>#DIV/0!</v>
      </c>
      <c r="R1231" s="449">
        <v>1</v>
      </c>
      <c r="S1231" s="672">
        <v>80</v>
      </c>
      <c r="T1231" s="161" t="e">
        <f t="shared" si="101"/>
        <v>#DIV/0!</v>
      </c>
      <c r="U1231" s="162">
        <f>IF(S1231="nio",0,IF(S1231&gt;0,VLOOKUP(G1231,'3-Productie normen'!A:K,VLOOKUP(S1231,'3-Productie normen'!L:N,3,FALSE),FALSE)))</f>
        <v>0</v>
      </c>
      <c r="V1231" s="162">
        <f>VLOOKUP(G1231,'3-Productie normen'!A:K,10,FALSE)</f>
        <v>6152.9500017547598</v>
      </c>
      <c r="W1231" s="163">
        <f>VLOOKUP(G1231,'3-Productie normen'!A:K,11,FALSE)</f>
        <v>0</v>
      </c>
      <c r="X1231" s="163"/>
      <c r="Z1231" s="129">
        <f t="shared" si="102"/>
        <v>760</v>
      </c>
    </row>
    <row r="1232" spans="1:26" ht="14.1" customHeight="1">
      <c r="A1232" s="144">
        <v>1270</v>
      </c>
      <c r="B1232" s="485" t="s">
        <v>235</v>
      </c>
      <c r="C1232" s="160" t="s">
        <v>515</v>
      </c>
      <c r="D1232" s="493" t="s">
        <v>98</v>
      </c>
      <c r="E1232" s="712" t="s">
        <v>536</v>
      </c>
      <c r="F1232" s="126" t="s">
        <v>537</v>
      </c>
      <c r="G1232" s="516" t="s">
        <v>191</v>
      </c>
      <c r="H1232" s="524" t="s">
        <v>100</v>
      </c>
      <c r="I1232" s="582" t="str">
        <f>VLOOKUP(H1232,'9a-Typen vloeren'!$A$10:$B$40,2,FALSE)</f>
        <v>Sprayen/ conserveren</v>
      </c>
      <c r="J1232" s="586">
        <v>17.799999237060547</v>
      </c>
      <c r="K1232" s="433">
        <f t="shared" si="98"/>
        <v>17.799999237060547</v>
      </c>
      <c r="L1232" s="433">
        <f t="shared" si="99"/>
        <v>0</v>
      </c>
      <c r="M1232" s="433">
        <f t="shared" si="100"/>
        <v>0</v>
      </c>
      <c r="N1232" s="672"/>
      <c r="O1232" s="729">
        <f>IF(N1232="",0,N1232*K1232/'9b-Vloeronderhoud'!$F$4)</f>
        <v>0</v>
      </c>
      <c r="P1232" s="672"/>
      <c r="Q1232" s="729" t="e">
        <f>IF(O1232="",0,P1232*L1232/'9b-Vloeronderhoud'!$F$6)</f>
        <v>#DIV/0!</v>
      </c>
      <c r="R1232" s="449">
        <v>1</v>
      </c>
      <c r="S1232" s="672">
        <v>40</v>
      </c>
      <c r="T1232" s="161" t="e">
        <f t="shared" si="101"/>
        <v>#DIV/0!</v>
      </c>
      <c r="U1232" s="162">
        <f>IF(S1232="nio",0,IF(S1232&gt;0,VLOOKUP(G1232,'3-Productie normen'!A:K,VLOOKUP(S1232,'3-Productie normen'!L:N,3,FALSE),FALSE)))</f>
        <v>0</v>
      </c>
      <c r="V1232" s="162">
        <f>VLOOKUP(G1232,'3-Productie normen'!A:K,10,FALSE)</f>
        <v>314.55999933242794</v>
      </c>
      <c r="W1232" s="163">
        <f>VLOOKUP(G1232,'3-Productie normen'!A:K,11,FALSE)</f>
        <v>0</v>
      </c>
      <c r="X1232" s="163"/>
      <c r="Z1232" s="129">
        <f t="shared" si="102"/>
        <v>711.99996948242188</v>
      </c>
    </row>
    <row r="1233" spans="1:26" ht="14.1" customHeight="1">
      <c r="A1233" s="144">
        <v>1271</v>
      </c>
      <c r="B1233" s="485" t="s">
        <v>235</v>
      </c>
      <c r="C1233" s="160" t="s">
        <v>515</v>
      </c>
      <c r="D1233" s="493">
        <v>1</v>
      </c>
      <c r="E1233" s="712" t="s">
        <v>351</v>
      </c>
      <c r="F1233" s="492" t="s">
        <v>412</v>
      </c>
      <c r="G1233" s="122" t="s">
        <v>287</v>
      </c>
      <c r="H1233" s="492" t="s">
        <v>100</v>
      </c>
      <c r="I1233" s="582" t="str">
        <f>VLOOKUP(H1233,'9a-Typen vloeren'!$A$10:$B$40,2,FALSE)</f>
        <v>Sprayen/ conserveren</v>
      </c>
      <c r="J1233" s="586">
        <v>8.4600000381469727</v>
      </c>
      <c r="K1233" s="433">
        <f t="shared" si="98"/>
        <v>8.4600000381469727</v>
      </c>
      <c r="L1233" s="433">
        <f t="shared" si="99"/>
        <v>0</v>
      </c>
      <c r="M1233" s="433">
        <f t="shared" si="100"/>
        <v>0</v>
      </c>
      <c r="N1233" s="672"/>
      <c r="O1233" s="729">
        <f>IF(N1233="",0,N1233*K1233/'9b-Vloeronderhoud'!$F$4)</f>
        <v>0</v>
      </c>
      <c r="P1233" s="672"/>
      <c r="Q1233" s="729" t="e">
        <f>IF(O1233="",0,P1233*L1233/'9b-Vloeronderhoud'!$F$6)</f>
        <v>#DIV/0!</v>
      </c>
      <c r="R1233" s="449">
        <v>1</v>
      </c>
      <c r="S1233" s="672">
        <v>80</v>
      </c>
      <c r="T1233" s="161" t="e">
        <f t="shared" si="101"/>
        <v>#DIV/0!</v>
      </c>
      <c r="U1233" s="162">
        <f>IF(S1233="nio",0,IF(S1233&gt;0,VLOOKUP(G1233,'3-Productie normen'!A:K,VLOOKUP(S1233,'3-Productie normen'!L:N,3,FALSE),FALSE)))</f>
        <v>0</v>
      </c>
      <c r="V1233" s="162">
        <f>VLOOKUP(G1233,'3-Productie normen'!A:K,10,FALSE)</f>
        <v>519.460002565384</v>
      </c>
      <c r="W1233" s="163">
        <f>VLOOKUP(G1233,'3-Productie normen'!A:K,11,FALSE)</f>
        <v>0</v>
      </c>
      <c r="X1233" s="163"/>
      <c r="Z1233" s="129">
        <f t="shared" si="102"/>
        <v>676.80000305175781</v>
      </c>
    </row>
    <row r="1234" spans="1:26" ht="14.1" customHeight="1">
      <c r="A1234" s="144">
        <v>1272</v>
      </c>
      <c r="B1234" s="485" t="s">
        <v>235</v>
      </c>
      <c r="C1234" s="160" t="s">
        <v>515</v>
      </c>
      <c r="D1234" s="493">
        <v>1</v>
      </c>
      <c r="E1234" s="712" t="s">
        <v>352</v>
      </c>
      <c r="F1234" s="492" t="s">
        <v>353</v>
      </c>
      <c r="G1234" s="122" t="s">
        <v>421</v>
      </c>
      <c r="H1234" s="492" t="s">
        <v>100</v>
      </c>
      <c r="I1234" s="582" t="str">
        <f>VLOOKUP(H1234,'9a-Typen vloeren'!$A$10:$B$40,2,FALSE)</f>
        <v>Sprayen/ conserveren</v>
      </c>
      <c r="J1234" s="586">
        <v>58.389999389648438</v>
      </c>
      <c r="K1234" s="433">
        <f t="shared" si="98"/>
        <v>58.389999389648438</v>
      </c>
      <c r="L1234" s="433">
        <f t="shared" si="99"/>
        <v>0</v>
      </c>
      <c r="M1234" s="433">
        <f t="shared" si="100"/>
        <v>0</v>
      </c>
      <c r="N1234" s="672"/>
      <c r="O1234" s="729">
        <f>IF(N1234="",0,N1234*K1234/'9b-Vloeronderhoud'!$F$4)</f>
        <v>0</v>
      </c>
      <c r="P1234" s="672"/>
      <c r="Q1234" s="729" t="e">
        <f>IF(O1234="",0,P1234*L1234/'9b-Vloeronderhoud'!$F$6)</f>
        <v>#DIV/0!</v>
      </c>
      <c r="R1234" s="449">
        <v>1</v>
      </c>
      <c r="S1234" s="672">
        <v>40</v>
      </c>
      <c r="T1234" s="161" t="e">
        <f t="shared" si="101"/>
        <v>#DIV/0!</v>
      </c>
      <c r="U1234" s="162">
        <f>IF(S1234="nio",0,IF(S1234&gt;0,VLOOKUP(G1234,'3-Productie normen'!A:K,VLOOKUP(S1234,'3-Productie normen'!L:N,3,FALSE),FALSE)))</f>
        <v>0</v>
      </c>
      <c r="V1234" s="162">
        <f>VLOOKUP(G1234,'3-Productie normen'!A:K,10,FALSE)</f>
        <v>865.11000061035156</v>
      </c>
      <c r="W1234" s="163">
        <f>VLOOKUP(G1234,'3-Productie normen'!A:K,11,FALSE)</f>
        <v>0</v>
      </c>
      <c r="X1234" s="163"/>
      <c r="Z1234" s="129">
        <f t="shared" si="102"/>
        <v>2335.5999755859375</v>
      </c>
    </row>
    <row r="1235" spans="1:26" ht="14.1" customHeight="1">
      <c r="A1235" s="144">
        <v>1273</v>
      </c>
      <c r="B1235" s="485" t="s">
        <v>235</v>
      </c>
      <c r="C1235" s="160" t="s">
        <v>515</v>
      </c>
      <c r="D1235" s="493">
        <v>1</v>
      </c>
      <c r="E1235" s="712" t="s">
        <v>354</v>
      </c>
      <c r="F1235" s="492" t="s">
        <v>353</v>
      </c>
      <c r="G1235" s="122" t="s">
        <v>421</v>
      </c>
      <c r="H1235" s="492" t="s">
        <v>100</v>
      </c>
      <c r="I1235" s="582" t="str">
        <f>VLOOKUP(H1235,'9a-Typen vloeren'!$A$10:$B$40,2,FALSE)</f>
        <v>Sprayen/ conserveren</v>
      </c>
      <c r="J1235" s="586">
        <v>25.520000457763672</v>
      </c>
      <c r="K1235" s="433">
        <f t="shared" si="98"/>
        <v>25.520000457763672</v>
      </c>
      <c r="L1235" s="433">
        <f t="shared" si="99"/>
        <v>0</v>
      </c>
      <c r="M1235" s="433">
        <f t="shared" si="100"/>
        <v>0</v>
      </c>
      <c r="N1235" s="672"/>
      <c r="O1235" s="729">
        <f>IF(N1235="",0,N1235*K1235/'9b-Vloeronderhoud'!$F$4)</f>
        <v>0</v>
      </c>
      <c r="P1235" s="672"/>
      <c r="Q1235" s="729" t="e">
        <f>IF(O1235="",0,P1235*L1235/'9b-Vloeronderhoud'!$F$6)</f>
        <v>#DIV/0!</v>
      </c>
      <c r="R1235" s="449">
        <v>1</v>
      </c>
      <c r="S1235" s="672">
        <v>40</v>
      </c>
      <c r="T1235" s="161" t="e">
        <f t="shared" si="101"/>
        <v>#DIV/0!</v>
      </c>
      <c r="U1235" s="162">
        <f>IF(S1235="nio",0,IF(S1235&gt;0,VLOOKUP(G1235,'3-Productie normen'!A:K,VLOOKUP(S1235,'3-Productie normen'!L:N,3,FALSE),FALSE)))</f>
        <v>0</v>
      </c>
      <c r="V1235" s="162">
        <f>VLOOKUP(G1235,'3-Productie normen'!A:K,10,FALSE)</f>
        <v>865.11000061035156</v>
      </c>
      <c r="W1235" s="163">
        <f>VLOOKUP(G1235,'3-Productie normen'!A:K,11,FALSE)</f>
        <v>0</v>
      </c>
      <c r="X1235" s="163"/>
      <c r="Z1235" s="129">
        <f t="shared" si="102"/>
        <v>1020.8000183105469</v>
      </c>
    </row>
    <row r="1236" spans="1:26" ht="14.1" customHeight="1">
      <c r="A1236" s="144">
        <v>1274</v>
      </c>
      <c r="B1236" s="485" t="s">
        <v>235</v>
      </c>
      <c r="C1236" s="160" t="s">
        <v>515</v>
      </c>
      <c r="D1236" s="493">
        <v>1</v>
      </c>
      <c r="E1236" s="712" t="s">
        <v>355</v>
      </c>
      <c r="F1236" s="492" t="s">
        <v>302</v>
      </c>
      <c r="G1236" s="460" t="s">
        <v>18</v>
      </c>
      <c r="H1236" s="524" t="s">
        <v>966</v>
      </c>
      <c r="I1236" s="582" t="str">
        <f>VLOOKUP(H1236,'9a-Typen vloeren'!$A$10:$B$40,2,FALSE)</f>
        <v>zie kwaliteitsontwerp</v>
      </c>
      <c r="J1236" s="586">
        <v>6.0900001525878906</v>
      </c>
      <c r="K1236" s="433">
        <f t="shared" si="98"/>
        <v>0</v>
      </c>
      <c r="L1236" s="433">
        <f t="shared" si="99"/>
        <v>0</v>
      </c>
      <c r="M1236" s="433">
        <f t="shared" si="100"/>
        <v>0</v>
      </c>
      <c r="N1236" s="672"/>
      <c r="O1236" s="729">
        <f>IF(N1236="",0,N1236*K1236/'9b-Vloeronderhoud'!$F$4)</f>
        <v>0</v>
      </c>
      <c r="P1236" s="672"/>
      <c r="Q1236" s="729" t="e">
        <f>IF(O1236="",0,P1236*L1236/'9b-Vloeronderhoud'!$F$6)</f>
        <v>#DIV/0!</v>
      </c>
      <c r="R1236" s="449">
        <v>1</v>
      </c>
      <c r="S1236" s="672">
        <v>190</v>
      </c>
      <c r="T1236" s="161" t="e">
        <f t="shared" si="101"/>
        <v>#DIV/0!</v>
      </c>
      <c r="U1236" s="162">
        <f>IF(S1236="nio",0,IF(S1236&gt;0,VLOOKUP(G1236,'3-Productie normen'!A:K,VLOOKUP(S1236,'3-Productie normen'!L:N,3,FALSE),FALSE)))</f>
        <v>0</v>
      </c>
      <c r="V1236" s="162">
        <f>VLOOKUP(G1236,'3-Productie normen'!A:K,10,FALSE)</f>
        <v>1859.5880019121171</v>
      </c>
      <c r="W1236" s="163">
        <f>VLOOKUP(G1236,'3-Productie normen'!A:K,11,FALSE)</f>
        <v>0</v>
      </c>
      <c r="X1236" s="163"/>
      <c r="Z1236" s="129">
        <f t="shared" si="102"/>
        <v>1157.1000289916992</v>
      </c>
    </row>
    <row r="1237" spans="1:26" ht="14.1" customHeight="1">
      <c r="A1237" s="144">
        <v>1275</v>
      </c>
      <c r="B1237" s="485" t="s">
        <v>235</v>
      </c>
      <c r="C1237" s="160" t="s">
        <v>515</v>
      </c>
      <c r="D1237" s="493">
        <v>1</v>
      </c>
      <c r="E1237" s="718" t="s">
        <v>356</v>
      </c>
      <c r="F1237" s="126" t="s">
        <v>282</v>
      </c>
      <c r="G1237" s="460" t="s">
        <v>881</v>
      </c>
      <c r="H1237" s="492" t="s">
        <v>100</v>
      </c>
      <c r="I1237" s="582" t="str">
        <f>VLOOKUP(H1237,'9a-Typen vloeren'!$A$10:$B$40,2,FALSE)</f>
        <v>Sprayen/ conserveren</v>
      </c>
      <c r="J1237" s="586">
        <v>5.0399999618530273</v>
      </c>
      <c r="K1237" s="433">
        <f t="shared" si="98"/>
        <v>0</v>
      </c>
      <c r="L1237" s="433">
        <f t="shared" si="99"/>
        <v>0</v>
      </c>
      <c r="M1237" s="433">
        <f t="shared" si="100"/>
        <v>0</v>
      </c>
      <c r="N1237" s="672"/>
      <c r="O1237" s="729">
        <f>IF(N1237="",0,N1237*K1237/'9b-Vloeronderhoud'!$F$4)</f>
        <v>0</v>
      </c>
      <c r="P1237" s="672"/>
      <c r="Q1237" s="729" t="e">
        <f>IF(O1237="",0,P1237*L1237/'9b-Vloeronderhoud'!$F$6)</f>
        <v>#DIV/0!</v>
      </c>
      <c r="R1237" s="449">
        <v>1</v>
      </c>
      <c r="S1237" s="672" t="s">
        <v>179</v>
      </c>
      <c r="T1237" s="161">
        <f t="shared" si="101"/>
        <v>0</v>
      </c>
      <c r="U1237" s="162">
        <f>IF(S1237="nio",0,IF(S1237&gt;0,VLOOKUP(G1237,'3-Productie normen'!A:K,VLOOKUP(S1237,'3-Productie normen'!L:N,3,FALSE),FALSE)))</f>
        <v>0</v>
      </c>
      <c r="V1237" s="162">
        <f>VLOOKUP(G1237,'3-Productie normen'!A:K,10,FALSE)</f>
        <v>5262.809993648526</v>
      </c>
      <c r="W1237" s="163">
        <f>VLOOKUP(G1237,'3-Productie normen'!A:K,11,FALSE)</f>
        <v>0</v>
      </c>
      <c r="X1237" s="163"/>
      <c r="Z1237" s="129">
        <f t="shared" si="102"/>
        <v>0</v>
      </c>
    </row>
    <row r="1238" spans="1:26" ht="14.1" customHeight="1">
      <c r="A1238" s="144">
        <v>1276</v>
      </c>
      <c r="B1238" s="485" t="s">
        <v>235</v>
      </c>
      <c r="C1238" s="160" t="s">
        <v>515</v>
      </c>
      <c r="D1238" s="493">
        <v>1</v>
      </c>
      <c r="E1238" s="712" t="s">
        <v>357</v>
      </c>
      <c r="F1238" s="492" t="s">
        <v>302</v>
      </c>
      <c r="G1238" s="460" t="s">
        <v>18</v>
      </c>
      <c r="H1238" s="524" t="s">
        <v>966</v>
      </c>
      <c r="I1238" s="582" t="str">
        <f>VLOOKUP(H1238,'9a-Typen vloeren'!$A$10:$B$40,2,FALSE)</f>
        <v>zie kwaliteitsontwerp</v>
      </c>
      <c r="J1238" s="586">
        <v>6.0900001525878906</v>
      </c>
      <c r="K1238" s="433">
        <f t="shared" si="98"/>
        <v>0</v>
      </c>
      <c r="L1238" s="433">
        <f t="shared" si="99"/>
        <v>0</v>
      </c>
      <c r="M1238" s="433">
        <f t="shared" si="100"/>
        <v>0</v>
      </c>
      <c r="N1238" s="672"/>
      <c r="O1238" s="729">
        <f>IF(N1238="",0,N1238*K1238/'9b-Vloeronderhoud'!$F$4)</f>
        <v>0</v>
      </c>
      <c r="P1238" s="672"/>
      <c r="Q1238" s="729" t="e">
        <f>IF(O1238="",0,P1238*L1238/'9b-Vloeronderhoud'!$F$6)</f>
        <v>#DIV/0!</v>
      </c>
      <c r="R1238" s="449">
        <v>1</v>
      </c>
      <c r="S1238" s="672">
        <v>190</v>
      </c>
      <c r="T1238" s="161" t="e">
        <f t="shared" si="101"/>
        <v>#DIV/0!</v>
      </c>
      <c r="U1238" s="162">
        <f>IF(S1238="nio",0,IF(S1238&gt;0,VLOOKUP(G1238,'3-Productie normen'!A:K,VLOOKUP(S1238,'3-Productie normen'!L:N,3,FALSE),FALSE)))</f>
        <v>0</v>
      </c>
      <c r="V1238" s="162">
        <f>VLOOKUP(G1238,'3-Productie normen'!A:K,10,FALSE)</f>
        <v>1859.5880019121171</v>
      </c>
      <c r="W1238" s="163">
        <f>VLOOKUP(G1238,'3-Productie normen'!A:K,11,FALSE)</f>
        <v>0</v>
      </c>
      <c r="X1238" s="163"/>
      <c r="Z1238" s="129">
        <f t="shared" si="102"/>
        <v>1157.1000289916992</v>
      </c>
    </row>
    <row r="1239" spans="1:26" ht="14.1" customHeight="1">
      <c r="A1239" s="144">
        <v>1277</v>
      </c>
      <c r="B1239" s="485" t="s">
        <v>235</v>
      </c>
      <c r="C1239" s="160" t="s">
        <v>515</v>
      </c>
      <c r="D1239" s="493">
        <v>1</v>
      </c>
      <c r="E1239" s="712" t="s">
        <v>358</v>
      </c>
      <c r="F1239" s="492" t="s">
        <v>346</v>
      </c>
      <c r="G1239" s="460" t="s">
        <v>881</v>
      </c>
      <c r="H1239" s="492" t="s">
        <v>102</v>
      </c>
      <c r="I1239" s="582" t="str">
        <f>VLOOKUP(H1239,'9a-Typen vloeren'!$A$10:$B$40,2,FALSE)</f>
        <v>n.v.t.</v>
      </c>
      <c r="J1239" s="586">
        <v>10.079999923706055</v>
      </c>
      <c r="K1239" s="433">
        <f t="shared" si="98"/>
        <v>0</v>
      </c>
      <c r="L1239" s="433">
        <f t="shared" si="99"/>
        <v>0</v>
      </c>
      <c r="M1239" s="433">
        <f t="shared" si="100"/>
        <v>0</v>
      </c>
      <c r="N1239" s="672"/>
      <c r="O1239" s="729">
        <f>IF(N1239="",0,N1239*K1239/'9b-Vloeronderhoud'!$F$4)</f>
        <v>0</v>
      </c>
      <c r="P1239" s="672"/>
      <c r="Q1239" s="729" t="e">
        <f>IF(O1239="",0,P1239*L1239/'9b-Vloeronderhoud'!$F$6)</f>
        <v>#DIV/0!</v>
      </c>
      <c r="R1239" s="449">
        <v>1</v>
      </c>
      <c r="S1239" s="672" t="s">
        <v>179</v>
      </c>
      <c r="T1239" s="161">
        <f t="shared" si="101"/>
        <v>0</v>
      </c>
      <c r="U1239" s="162">
        <f>IF(S1239="nio",0,IF(S1239&gt;0,VLOOKUP(G1239,'3-Productie normen'!A:K,VLOOKUP(S1239,'3-Productie normen'!L:N,3,FALSE),FALSE)))</f>
        <v>0</v>
      </c>
      <c r="V1239" s="162">
        <f>VLOOKUP(G1239,'3-Productie normen'!A:K,10,FALSE)</f>
        <v>5262.809993648526</v>
      </c>
      <c r="W1239" s="163">
        <f>VLOOKUP(G1239,'3-Productie normen'!A:K,11,FALSE)</f>
        <v>0</v>
      </c>
      <c r="X1239" s="163"/>
      <c r="Z1239" s="129">
        <f t="shared" si="102"/>
        <v>0</v>
      </c>
    </row>
    <row r="1240" spans="1:26" ht="14.1" customHeight="1">
      <c r="A1240" s="144">
        <v>1278</v>
      </c>
      <c r="B1240" s="485" t="s">
        <v>235</v>
      </c>
      <c r="C1240" s="160" t="s">
        <v>515</v>
      </c>
      <c r="D1240" s="493">
        <v>1</v>
      </c>
      <c r="E1240" s="712" t="s">
        <v>359</v>
      </c>
      <c r="F1240" s="492" t="s">
        <v>221</v>
      </c>
      <c r="G1240" s="546" t="s">
        <v>221</v>
      </c>
      <c r="H1240" s="492" t="s">
        <v>100</v>
      </c>
      <c r="I1240" s="582" t="str">
        <f>VLOOKUP(H1240,'9a-Typen vloeren'!$A$10:$B$40,2,FALSE)</f>
        <v>Sprayen/ conserveren</v>
      </c>
      <c r="J1240" s="586">
        <v>50.409999847412109</v>
      </c>
      <c r="K1240" s="433">
        <f t="shared" si="98"/>
        <v>50.409999847412109</v>
      </c>
      <c r="L1240" s="433">
        <f t="shared" si="99"/>
        <v>0</v>
      </c>
      <c r="M1240" s="433">
        <f t="shared" si="100"/>
        <v>0</v>
      </c>
      <c r="N1240" s="672"/>
      <c r="O1240" s="729">
        <f>IF(N1240="",0,N1240*K1240/'9b-Vloeronderhoud'!$F$4)</f>
        <v>0</v>
      </c>
      <c r="P1240" s="672"/>
      <c r="Q1240" s="729" t="e">
        <f>IF(O1240="",0,P1240*L1240/'9b-Vloeronderhoud'!$F$6)</f>
        <v>#DIV/0!</v>
      </c>
      <c r="R1240" s="449">
        <v>1</v>
      </c>
      <c r="S1240" s="688" t="s">
        <v>179</v>
      </c>
      <c r="T1240" s="161">
        <f t="shared" si="101"/>
        <v>0</v>
      </c>
      <c r="U1240" s="162">
        <f>IF(S1240="nio",0,IF(S1240&gt;0,VLOOKUP(G1240,'3-Productie normen'!A:K,VLOOKUP(S1240,'3-Productie normen'!L:N,3,FALSE),FALSE)))</f>
        <v>0</v>
      </c>
      <c r="V1240" s="162">
        <f>VLOOKUP(G1240,'3-Productie normen'!A:K,10,FALSE)</f>
        <v>16013.110036668773</v>
      </c>
      <c r="W1240" s="163">
        <f>VLOOKUP(G1240,'3-Productie normen'!A:K,11,FALSE)</f>
        <v>0</v>
      </c>
      <c r="X1240" s="163"/>
      <c r="Z1240" s="129">
        <f t="shared" si="102"/>
        <v>0</v>
      </c>
    </row>
    <row r="1241" spans="1:26" ht="14.1" customHeight="1">
      <c r="A1241" s="144">
        <v>1279</v>
      </c>
      <c r="B1241" s="485" t="s">
        <v>235</v>
      </c>
      <c r="C1241" s="160" t="s">
        <v>515</v>
      </c>
      <c r="D1241" s="493">
        <v>1</v>
      </c>
      <c r="E1241" s="712" t="s">
        <v>361</v>
      </c>
      <c r="F1241" s="492" t="s">
        <v>221</v>
      </c>
      <c r="G1241" s="546" t="s">
        <v>221</v>
      </c>
      <c r="H1241" s="492" t="s">
        <v>100</v>
      </c>
      <c r="I1241" s="582" t="str">
        <f>VLOOKUP(H1241,'9a-Typen vloeren'!$A$10:$B$40,2,FALSE)</f>
        <v>Sprayen/ conserveren</v>
      </c>
      <c r="J1241" s="586">
        <v>50.409999847412109</v>
      </c>
      <c r="K1241" s="433">
        <f t="shared" si="98"/>
        <v>50.409999847412109</v>
      </c>
      <c r="L1241" s="433">
        <f t="shared" si="99"/>
        <v>0</v>
      </c>
      <c r="M1241" s="433">
        <f t="shared" si="100"/>
        <v>0</v>
      </c>
      <c r="N1241" s="672"/>
      <c r="O1241" s="729">
        <f>IF(N1241="",0,N1241*K1241/'9b-Vloeronderhoud'!$F$4)</f>
        <v>0</v>
      </c>
      <c r="P1241" s="672"/>
      <c r="Q1241" s="729" t="e">
        <f>IF(O1241="",0,P1241*L1241/'9b-Vloeronderhoud'!$F$6)</f>
        <v>#DIV/0!</v>
      </c>
      <c r="R1241" s="449">
        <v>1</v>
      </c>
      <c r="S1241" s="688" t="s">
        <v>179</v>
      </c>
      <c r="T1241" s="161">
        <f t="shared" si="101"/>
        <v>0</v>
      </c>
      <c r="U1241" s="162">
        <f>IF(S1241="nio",0,IF(S1241&gt;0,VLOOKUP(G1241,'3-Productie normen'!A:K,VLOOKUP(S1241,'3-Productie normen'!L:N,3,FALSE),FALSE)))</f>
        <v>0</v>
      </c>
      <c r="V1241" s="162">
        <f>VLOOKUP(G1241,'3-Productie normen'!A:K,10,FALSE)</f>
        <v>16013.110036668773</v>
      </c>
      <c r="W1241" s="163">
        <f>VLOOKUP(G1241,'3-Productie normen'!A:K,11,FALSE)</f>
        <v>0</v>
      </c>
      <c r="X1241" s="163"/>
      <c r="Z1241" s="129">
        <f t="shared" si="102"/>
        <v>0</v>
      </c>
    </row>
    <row r="1242" spans="1:26" ht="14.1" customHeight="1">
      <c r="A1242" s="144">
        <v>1280</v>
      </c>
      <c r="B1242" s="485" t="s">
        <v>235</v>
      </c>
      <c r="C1242" s="160" t="s">
        <v>515</v>
      </c>
      <c r="D1242" s="493" t="s">
        <v>98</v>
      </c>
      <c r="E1242" s="712" t="s">
        <v>294</v>
      </c>
      <c r="F1242" s="492" t="s">
        <v>99</v>
      </c>
      <c r="G1242" s="460" t="s">
        <v>99</v>
      </c>
      <c r="H1242" s="303" t="s">
        <v>332</v>
      </c>
      <c r="I1242" s="582" t="str">
        <f>VLOOKUP(H1242,'9a-Typen vloeren'!$A$10:$B$40,2,FALSE)</f>
        <v>Sproei/extraheren</v>
      </c>
      <c r="J1242" s="586">
        <v>18.229999542236328</v>
      </c>
      <c r="K1242" s="433">
        <f t="shared" si="98"/>
        <v>0</v>
      </c>
      <c r="L1242" s="433">
        <f t="shared" si="99"/>
        <v>0</v>
      </c>
      <c r="M1242" s="433">
        <f t="shared" si="100"/>
        <v>18.229999542236328</v>
      </c>
      <c r="N1242" s="672"/>
      <c r="O1242" s="729">
        <f>IF(N1242="",0,N1242*K1242/'9b-Vloeronderhoud'!$F$4)</f>
        <v>0</v>
      </c>
      <c r="P1242" s="672"/>
      <c r="Q1242" s="729" t="e">
        <f>IF(O1242="",0,P1242*L1242/'9b-Vloeronderhoud'!$F$6)</f>
        <v>#DIV/0!</v>
      </c>
      <c r="R1242" s="449">
        <v>1</v>
      </c>
      <c r="S1242" s="672">
        <v>190</v>
      </c>
      <c r="T1242" s="161" t="e">
        <f t="shared" si="101"/>
        <v>#DIV/0!</v>
      </c>
      <c r="U1242" s="162">
        <f>IF(S1242="nio",0,IF(S1242&gt;0,VLOOKUP(G1242,'3-Productie normen'!A:K,VLOOKUP(S1242,'3-Productie normen'!L:N,3,FALSE),FALSE)))</f>
        <v>0</v>
      </c>
      <c r="V1242" s="162">
        <f>VLOOKUP(G1242,'3-Productie normen'!A:K,10,FALSE)</f>
        <v>726.97999910354622</v>
      </c>
      <c r="W1242" s="163">
        <f>VLOOKUP(G1242,'3-Productie normen'!A:K,11,FALSE)</f>
        <v>0</v>
      </c>
      <c r="X1242" s="163"/>
      <c r="Z1242" s="129">
        <f t="shared" si="102"/>
        <v>3463.6999130249023</v>
      </c>
    </row>
    <row r="1243" spans="1:26" ht="14.1" customHeight="1">
      <c r="A1243" s="144">
        <v>1281</v>
      </c>
      <c r="B1243" s="485" t="s">
        <v>235</v>
      </c>
      <c r="C1243" s="160" t="s">
        <v>515</v>
      </c>
      <c r="D1243" s="493" t="s">
        <v>98</v>
      </c>
      <c r="E1243" s="712" t="s">
        <v>320</v>
      </c>
      <c r="F1243" s="492" t="s">
        <v>470</v>
      </c>
      <c r="G1243" s="546" t="s">
        <v>221</v>
      </c>
      <c r="H1243" s="492" t="s">
        <v>100</v>
      </c>
      <c r="I1243" s="582" t="str">
        <f>VLOOKUP(H1243,'9a-Typen vloeren'!$A$10:$B$40,2,FALSE)</f>
        <v>Sprayen/ conserveren</v>
      </c>
      <c r="J1243" s="586">
        <v>81.800003051757813</v>
      </c>
      <c r="K1243" s="433">
        <f t="shared" si="98"/>
        <v>81.800003051757813</v>
      </c>
      <c r="L1243" s="433">
        <f t="shared" si="99"/>
        <v>0</v>
      </c>
      <c r="M1243" s="433">
        <f t="shared" si="100"/>
        <v>0</v>
      </c>
      <c r="N1243" s="672"/>
      <c r="O1243" s="729">
        <f>IF(N1243="",0,N1243*K1243/'9b-Vloeronderhoud'!$F$4)</f>
        <v>0</v>
      </c>
      <c r="P1243" s="672"/>
      <c r="Q1243" s="729" t="e">
        <f>IF(O1243="",0,P1243*L1243/'9b-Vloeronderhoud'!$F$6)</f>
        <v>#DIV/0!</v>
      </c>
      <c r="R1243" s="449">
        <v>1</v>
      </c>
      <c r="S1243" s="672">
        <v>80</v>
      </c>
      <c r="T1243" s="161" t="e">
        <f t="shared" si="101"/>
        <v>#DIV/0!</v>
      </c>
      <c r="U1243" s="162">
        <f>IF(S1243="nio",0,IF(S1243&gt;0,VLOOKUP(G1243,'3-Productie normen'!A:K,VLOOKUP(S1243,'3-Productie normen'!L:N,3,FALSE),FALSE)))</f>
        <v>0</v>
      </c>
      <c r="V1243" s="162">
        <f>VLOOKUP(G1243,'3-Productie normen'!A:K,10,FALSE)</f>
        <v>16013.110036668773</v>
      </c>
      <c r="W1243" s="163">
        <f>VLOOKUP(G1243,'3-Productie normen'!A:K,11,FALSE)</f>
        <v>0</v>
      </c>
      <c r="X1243" s="163"/>
      <c r="Z1243" s="129">
        <f t="shared" si="102"/>
        <v>6544.000244140625</v>
      </c>
    </row>
    <row r="1244" spans="1:26" ht="14.1" customHeight="1">
      <c r="A1244" s="144">
        <v>1282</v>
      </c>
      <c r="B1244" s="525" t="s">
        <v>424</v>
      </c>
      <c r="C1244" s="160" t="s">
        <v>515</v>
      </c>
      <c r="D1244" s="493" t="s">
        <v>98</v>
      </c>
      <c r="E1244" s="712" t="s">
        <v>525</v>
      </c>
      <c r="F1244" s="492" t="s">
        <v>865</v>
      </c>
      <c r="G1244" s="460" t="s">
        <v>862</v>
      </c>
      <c r="H1244" s="492" t="s">
        <v>100</v>
      </c>
      <c r="I1244" s="582" t="str">
        <f>VLOOKUP(H1244,'9a-Typen vloeren'!$A$10:$B$40,2,FALSE)</f>
        <v>Sprayen/ conserveren</v>
      </c>
      <c r="J1244" s="586">
        <v>71</v>
      </c>
      <c r="K1244" s="433">
        <f t="shared" si="98"/>
        <v>71</v>
      </c>
      <c r="L1244" s="433">
        <f t="shared" si="99"/>
        <v>0</v>
      </c>
      <c r="M1244" s="433">
        <f t="shared" si="100"/>
        <v>0</v>
      </c>
      <c r="N1244" s="672">
        <v>2</v>
      </c>
      <c r="O1244" s="729" t="e">
        <f>IF(N1244="",0,N1244*K1244/'9b-Vloeronderhoud'!$F$4)</f>
        <v>#DIV/0!</v>
      </c>
      <c r="P1244" s="672"/>
      <c r="Q1244" s="729" t="e">
        <f>IF(O1244="",0,P1244*L1244/'9b-Vloeronderhoud'!$F$6)</f>
        <v>#DIV/0!</v>
      </c>
      <c r="R1244" s="449">
        <v>1</v>
      </c>
      <c r="S1244" s="672">
        <v>120</v>
      </c>
      <c r="T1244" s="161" t="e">
        <f t="shared" si="101"/>
        <v>#DIV/0!</v>
      </c>
      <c r="U1244" s="162">
        <f>IF(S1244="nio",0,IF(S1244&gt;0,VLOOKUP(G1244,'3-Productie normen'!A:K,VLOOKUP(S1244,'3-Productie normen'!L:N,3,FALSE),FALSE)))</f>
        <v>0</v>
      </c>
      <c r="V1244" s="162">
        <f>VLOOKUP(G1244,'3-Productie normen'!A:K,10,FALSE)</f>
        <v>4374.9900215911857</v>
      </c>
      <c r="W1244" s="163">
        <f>VLOOKUP(G1244,'3-Productie normen'!A:K,11,FALSE)</f>
        <v>0</v>
      </c>
      <c r="X1244" s="163"/>
      <c r="Z1244" s="129">
        <f t="shared" si="102"/>
        <v>8520</v>
      </c>
    </row>
    <row r="1245" spans="1:26" ht="14.1" customHeight="1">
      <c r="A1245" s="144">
        <v>1283</v>
      </c>
      <c r="B1245" s="525" t="s">
        <v>424</v>
      </c>
      <c r="C1245" s="160" t="s">
        <v>515</v>
      </c>
      <c r="D1245" s="493" t="s">
        <v>98</v>
      </c>
      <c r="E1245" s="712" t="s">
        <v>538</v>
      </c>
      <c r="F1245" s="492" t="s">
        <v>283</v>
      </c>
      <c r="G1245" s="460" t="s">
        <v>286</v>
      </c>
      <c r="H1245" s="492" t="s">
        <v>100</v>
      </c>
      <c r="I1245" s="582" t="str">
        <f>VLOOKUP(H1245,'9a-Typen vloeren'!$A$10:$B$40,2,FALSE)</f>
        <v>Sprayen/ conserveren</v>
      </c>
      <c r="J1245" s="586">
        <v>23.799999237060547</v>
      </c>
      <c r="K1245" s="433">
        <f t="shared" si="98"/>
        <v>23.799999237060547</v>
      </c>
      <c r="L1245" s="433">
        <f t="shared" si="99"/>
        <v>0</v>
      </c>
      <c r="M1245" s="433">
        <f t="shared" si="100"/>
        <v>0</v>
      </c>
      <c r="N1245" s="672">
        <v>2</v>
      </c>
      <c r="O1245" s="729" t="e">
        <f>IF(N1245="",0,N1245*K1245/'9b-Vloeronderhoud'!$F$4)</f>
        <v>#DIV/0!</v>
      </c>
      <c r="P1245" s="672"/>
      <c r="Q1245" s="729" t="e">
        <f>IF(O1245="",0,P1245*L1245/'9b-Vloeronderhoud'!$F$6)</f>
        <v>#DIV/0!</v>
      </c>
      <c r="R1245" s="449">
        <v>1</v>
      </c>
      <c r="S1245" s="672">
        <v>120</v>
      </c>
      <c r="T1245" s="161" t="e">
        <f t="shared" si="101"/>
        <v>#DIV/0!</v>
      </c>
      <c r="U1245" s="162">
        <f>IF(S1245="nio",0,IF(S1245&gt;0,VLOOKUP(G1245,'3-Productie normen'!A:K,VLOOKUP(S1245,'3-Productie normen'!L:N,3,FALSE),FALSE)))</f>
        <v>0</v>
      </c>
      <c r="V1245" s="162">
        <f>VLOOKUP(G1245,'3-Productie normen'!A:K,10,FALSE)</f>
        <v>6152.9500017547598</v>
      </c>
      <c r="W1245" s="163">
        <f>VLOOKUP(G1245,'3-Productie normen'!A:K,11,FALSE)</f>
        <v>0</v>
      </c>
      <c r="X1245" s="163"/>
      <c r="Z1245" s="129">
        <f t="shared" si="102"/>
        <v>2855.9999084472656</v>
      </c>
    </row>
    <row r="1246" spans="1:26" ht="14.1" customHeight="1">
      <c r="A1246" s="144">
        <v>1284</v>
      </c>
      <c r="B1246" s="525" t="s">
        <v>424</v>
      </c>
      <c r="C1246" s="160" t="s">
        <v>515</v>
      </c>
      <c r="D1246" s="493" t="s">
        <v>98</v>
      </c>
      <c r="E1246" s="712" t="s">
        <v>539</v>
      </c>
      <c r="F1246" s="492" t="s">
        <v>290</v>
      </c>
      <c r="G1246" s="122" t="s">
        <v>190</v>
      </c>
      <c r="H1246" s="492" t="s">
        <v>100</v>
      </c>
      <c r="I1246" s="582" t="str">
        <f>VLOOKUP(H1246,'9a-Typen vloeren'!$A$10:$B$40,2,FALSE)</f>
        <v>Sprayen/ conserveren</v>
      </c>
      <c r="J1246" s="586">
        <v>7.1999998092651367</v>
      </c>
      <c r="K1246" s="433">
        <f t="shared" si="98"/>
        <v>7.1999998092651367</v>
      </c>
      <c r="L1246" s="433">
        <f t="shared" si="99"/>
        <v>0</v>
      </c>
      <c r="M1246" s="433">
        <f t="shared" si="100"/>
        <v>0</v>
      </c>
      <c r="N1246" s="672">
        <v>2</v>
      </c>
      <c r="O1246" s="729" t="e">
        <f>IF(N1246="",0,N1246*K1246/'9b-Vloeronderhoud'!$F$4)</f>
        <v>#DIV/0!</v>
      </c>
      <c r="P1246" s="672"/>
      <c r="Q1246" s="729" t="e">
        <f>IF(O1246="",0,P1246*L1246/'9b-Vloeronderhoud'!$F$6)</f>
        <v>#DIV/0!</v>
      </c>
      <c r="R1246" s="449">
        <v>1</v>
      </c>
      <c r="S1246" s="672">
        <v>40</v>
      </c>
      <c r="T1246" s="161" t="e">
        <f t="shared" si="101"/>
        <v>#DIV/0!</v>
      </c>
      <c r="U1246" s="162">
        <f>IF(S1246="nio",0,IF(S1246&gt;0,VLOOKUP(G1246,'3-Productie normen'!A:K,VLOOKUP(S1246,'3-Productie normen'!L:N,3,FALSE),FALSE)))</f>
        <v>0</v>
      </c>
      <c r="V1246" s="162">
        <f>VLOOKUP(G1246,'3-Productie normen'!A:K,10,FALSE)</f>
        <v>281.65000052452086</v>
      </c>
      <c r="W1246" s="163">
        <f>VLOOKUP(G1246,'3-Productie normen'!A:K,11,FALSE)</f>
        <v>0</v>
      </c>
      <c r="X1246" s="163"/>
      <c r="Z1246" s="129">
        <f t="shared" si="102"/>
        <v>287.99999237060547</v>
      </c>
    </row>
    <row r="1247" spans="1:26" ht="14.1" customHeight="1">
      <c r="A1247" s="144">
        <v>1285</v>
      </c>
      <c r="B1247" s="525" t="s">
        <v>424</v>
      </c>
      <c r="C1247" s="160" t="s">
        <v>515</v>
      </c>
      <c r="D1247" s="493" t="s">
        <v>98</v>
      </c>
      <c r="E1247" s="712" t="s">
        <v>540</v>
      </c>
      <c r="F1247" s="492" t="s">
        <v>302</v>
      </c>
      <c r="G1247" s="303" t="s">
        <v>18</v>
      </c>
      <c r="H1247" s="524" t="s">
        <v>966</v>
      </c>
      <c r="I1247" s="582" t="str">
        <f>VLOOKUP(H1247,'9a-Typen vloeren'!$A$10:$B$40,2,FALSE)</f>
        <v>zie kwaliteitsontwerp</v>
      </c>
      <c r="J1247" s="586">
        <v>1.6200000047683716</v>
      </c>
      <c r="K1247" s="433">
        <f t="shared" si="98"/>
        <v>0</v>
      </c>
      <c r="L1247" s="433">
        <f t="shared" si="99"/>
        <v>0</v>
      </c>
      <c r="M1247" s="433">
        <f t="shared" si="100"/>
        <v>0</v>
      </c>
      <c r="N1247" s="672"/>
      <c r="O1247" s="729">
        <f>IF(N1247="",0,N1247*K1247/'9b-Vloeronderhoud'!$F$4)</f>
        <v>0</v>
      </c>
      <c r="P1247" s="672"/>
      <c r="Q1247" s="729" t="e">
        <f>IF(O1247="",0,P1247*L1247/'9b-Vloeronderhoud'!$F$6)</f>
        <v>#DIV/0!</v>
      </c>
      <c r="R1247" s="449">
        <v>1</v>
      </c>
      <c r="S1247" s="672">
        <v>190</v>
      </c>
      <c r="T1247" s="161" t="e">
        <f t="shared" si="101"/>
        <v>#DIV/0!</v>
      </c>
      <c r="U1247" s="162">
        <f>IF(S1247="nio",0,IF(S1247&gt;0,VLOOKUP(G1247,'3-Productie normen'!A:K,VLOOKUP(S1247,'3-Productie normen'!L:N,3,FALSE),FALSE)))</f>
        <v>0</v>
      </c>
      <c r="V1247" s="162">
        <f>VLOOKUP(G1247,'3-Productie normen'!A:K,10,FALSE)</f>
        <v>1859.5880019121171</v>
      </c>
      <c r="W1247" s="163">
        <f>VLOOKUP(G1247,'3-Productie normen'!A:K,11,FALSE)</f>
        <v>0</v>
      </c>
      <c r="X1247" s="163"/>
      <c r="Z1247" s="129">
        <f t="shared" si="102"/>
        <v>307.8000009059906</v>
      </c>
    </row>
    <row r="1248" spans="1:26" ht="14.1" customHeight="1">
      <c r="A1248" s="144">
        <v>1286</v>
      </c>
      <c r="B1248" s="525" t="s">
        <v>424</v>
      </c>
      <c r="C1248" s="160" t="s">
        <v>515</v>
      </c>
      <c r="D1248" s="493" t="s">
        <v>98</v>
      </c>
      <c r="E1248" s="712" t="s">
        <v>541</v>
      </c>
      <c r="F1248" s="492" t="s">
        <v>302</v>
      </c>
      <c r="G1248" s="126" t="s">
        <v>18</v>
      </c>
      <c r="H1248" s="524" t="s">
        <v>966</v>
      </c>
      <c r="I1248" s="582" t="str">
        <f>VLOOKUP(H1248,'9a-Typen vloeren'!$A$10:$B$40,2,FALSE)</f>
        <v>zie kwaliteitsontwerp</v>
      </c>
      <c r="J1248" s="586">
        <v>1.6200000047683716</v>
      </c>
      <c r="K1248" s="433">
        <f t="shared" si="98"/>
        <v>0</v>
      </c>
      <c r="L1248" s="433">
        <f t="shared" si="99"/>
        <v>0</v>
      </c>
      <c r="M1248" s="433">
        <f t="shared" si="100"/>
        <v>0</v>
      </c>
      <c r="N1248" s="672"/>
      <c r="O1248" s="729">
        <f>IF(N1248="",0,N1248*K1248/'9b-Vloeronderhoud'!$F$4)</f>
        <v>0</v>
      </c>
      <c r="P1248" s="672"/>
      <c r="Q1248" s="729" t="e">
        <f>IF(O1248="",0,P1248*L1248/'9b-Vloeronderhoud'!$F$6)</f>
        <v>#DIV/0!</v>
      </c>
      <c r="R1248" s="449">
        <v>1</v>
      </c>
      <c r="S1248" s="672">
        <v>190</v>
      </c>
      <c r="T1248" s="161" t="e">
        <f t="shared" si="101"/>
        <v>#DIV/0!</v>
      </c>
      <c r="U1248" s="162">
        <f>IF(S1248="nio",0,IF(S1248&gt;0,VLOOKUP(G1248,'3-Productie normen'!A:K,VLOOKUP(S1248,'3-Productie normen'!L:N,3,FALSE),FALSE)))</f>
        <v>0</v>
      </c>
      <c r="V1248" s="162">
        <f>VLOOKUP(G1248,'3-Productie normen'!A:K,10,FALSE)</f>
        <v>1859.5880019121171</v>
      </c>
      <c r="W1248" s="163">
        <f>VLOOKUP(G1248,'3-Productie normen'!A:K,11,FALSE)</f>
        <v>0</v>
      </c>
      <c r="X1248" s="163"/>
      <c r="Z1248" s="129">
        <f t="shared" si="102"/>
        <v>307.8000009059906</v>
      </c>
    </row>
    <row r="1249" spans="1:26" ht="14.1" customHeight="1">
      <c r="A1249" s="144">
        <v>1287</v>
      </c>
      <c r="B1249" s="525" t="s">
        <v>424</v>
      </c>
      <c r="C1249" s="160" t="s">
        <v>515</v>
      </c>
      <c r="D1249" s="493" t="s">
        <v>98</v>
      </c>
      <c r="E1249" s="712" t="s">
        <v>476</v>
      </c>
      <c r="F1249" s="492" t="s">
        <v>283</v>
      </c>
      <c r="G1249" s="460" t="s">
        <v>286</v>
      </c>
      <c r="H1249" s="492" t="s">
        <v>100</v>
      </c>
      <c r="I1249" s="582" t="str">
        <f>VLOOKUP(H1249,'9a-Typen vloeren'!$A$10:$B$40,2,FALSE)</f>
        <v>Sprayen/ conserveren</v>
      </c>
      <c r="J1249" s="586">
        <v>16.510000228881836</v>
      </c>
      <c r="K1249" s="433">
        <f t="shared" si="98"/>
        <v>16.510000228881836</v>
      </c>
      <c r="L1249" s="433">
        <f t="shared" si="99"/>
        <v>0</v>
      </c>
      <c r="M1249" s="433">
        <f t="shared" si="100"/>
        <v>0</v>
      </c>
      <c r="N1249" s="672">
        <v>2</v>
      </c>
      <c r="O1249" s="729" t="e">
        <f>IF(N1249="",0,N1249*K1249/'9b-Vloeronderhoud'!$F$4)</f>
        <v>#DIV/0!</v>
      </c>
      <c r="P1249" s="672"/>
      <c r="Q1249" s="729" t="e">
        <f>IF(O1249="",0,P1249*L1249/'9b-Vloeronderhoud'!$F$6)</f>
        <v>#DIV/0!</v>
      </c>
      <c r="R1249" s="449">
        <v>1</v>
      </c>
      <c r="S1249" s="672">
        <v>120</v>
      </c>
      <c r="T1249" s="161" t="e">
        <f t="shared" si="101"/>
        <v>#DIV/0!</v>
      </c>
      <c r="U1249" s="162">
        <f>IF(S1249="nio",0,IF(S1249&gt;0,VLOOKUP(G1249,'3-Productie normen'!A:K,VLOOKUP(S1249,'3-Productie normen'!L:N,3,FALSE),FALSE)))</f>
        <v>0</v>
      </c>
      <c r="V1249" s="162">
        <f>VLOOKUP(G1249,'3-Productie normen'!A:K,10,FALSE)</f>
        <v>6152.9500017547598</v>
      </c>
      <c r="W1249" s="163">
        <f>VLOOKUP(G1249,'3-Productie normen'!A:K,11,FALSE)</f>
        <v>0</v>
      </c>
      <c r="X1249" s="163"/>
      <c r="Z1249" s="129">
        <f t="shared" si="102"/>
        <v>1981.2000274658203</v>
      </c>
    </row>
    <row r="1250" spans="1:26" ht="14.1" customHeight="1">
      <c r="A1250" s="144">
        <v>1288</v>
      </c>
      <c r="B1250" s="525" t="s">
        <v>424</v>
      </c>
      <c r="C1250" s="160" t="s">
        <v>515</v>
      </c>
      <c r="D1250" s="493" t="s">
        <v>98</v>
      </c>
      <c r="E1250" s="712" t="s">
        <v>477</v>
      </c>
      <c r="F1250" s="492" t="s">
        <v>302</v>
      </c>
      <c r="G1250" s="460" t="s">
        <v>18</v>
      </c>
      <c r="H1250" s="524" t="s">
        <v>966</v>
      </c>
      <c r="I1250" s="582" t="str">
        <f>VLOOKUP(H1250,'9a-Typen vloeren'!$A$10:$B$40,2,FALSE)</f>
        <v>zie kwaliteitsontwerp</v>
      </c>
      <c r="J1250" s="586">
        <v>6.7199997901916504</v>
      </c>
      <c r="K1250" s="433">
        <f t="shared" si="98"/>
        <v>0</v>
      </c>
      <c r="L1250" s="433">
        <f t="shared" si="99"/>
        <v>0</v>
      </c>
      <c r="M1250" s="433">
        <f t="shared" si="100"/>
        <v>0</v>
      </c>
      <c r="N1250" s="672"/>
      <c r="O1250" s="729">
        <f>IF(N1250="",0,N1250*K1250/'9b-Vloeronderhoud'!$F$4)</f>
        <v>0</v>
      </c>
      <c r="P1250" s="672"/>
      <c r="Q1250" s="729" t="e">
        <f>IF(O1250="",0,P1250*L1250/'9b-Vloeronderhoud'!$F$6)</f>
        <v>#DIV/0!</v>
      </c>
      <c r="R1250" s="449">
        <v>1</v>
      </c>
      <c r="S1250" s="672">
        <v>190</v>
      </c>
      <c r="T1250" s="161" t="e">
        <f t="shared" si="101"/>
        <v>#DIV/0!</v>
      </c>
      <c r="U1250" s="162">
        <f>IF(S1250="nio",0,IF(S1250&gt;0,VLOOKUP(G1250,'3-Productie normen'!A:K,VLOOKUP(S1250,'3-Productie normen'!L:N,3,FALSE),FALSE)))</f>
        <v>0</v>
      </c>
      <c r="V1250" s="162">
        <f>VLOOKUP(G1250,'3-Productie normen'!A:K,10,FALSE)</f>
        <v>1859.5880019121171</v>
      </c>
      <c r="W1250" s="163">
        <f>VLOOKUP(G1250,'3-Productie normen'!A:K,11,FALSE)</f>
        <v>0</v>
      </c>
      <c r="X1250" s="163"/>
      <c r="Z1250" s="129">
        <f t="shared" si="102"/>
        <v>1276.7999601364136</v>
      </c>
    </row>
    <row r="1251" spans="1:26" ht="14.1" customHeight="1">
      <c r="A1251" s="144">
        <v>1289</v>
      </c>
      <c r="B1251" s="525" t="s">
        <v>424</v>
      </c>
      <c r="C1251" s="160" t="s">
        <v>515</v>
      </c>
      <c r="D1251" s="493" t="s">
        <v>98</v>
      </c>
      <c r="E1251" s="712" t="s">
        <v>478</v>
      </c>
      <c r="F1251" s="492" t="s">
        <v>302</v>
      </c>
      <c r="G1251" s="460" t="s">
        <v>18</v>
      </c>
      <c r="H1251" s="524" t="s">
        <v>966</v>
      </c>
      <c r="I1251" s="582" t="str">
        <f>VLOOKUP(H1251,'9a-Typen vloeren'!$A$10:$B$40,2,FALSE)</f>
        <v>zie kwaliteitsontwerp</v>
      </c>
      <c r="J1251" s="586">
        <v>6.7199997901916504</v>
      </c>
      <c r="K1251" s="433">
        <f t="shared" si="98"/>
        <v>0</v>
      </c>
      <c r="L1251" s="433">
        <f t="shared" si="99"/>
        <v>0</v>
      </c>
      <c r="M1251" s="433">
        <f t="shared" si="100"/>
        <v>0</v>
      </c>
      <c r="N1251" s="672"/>
      <c r="O1251" s="729">
        <f>IF(N1251="",0,N1251*K1251/'9b-Vloeronderhoud'!$F$4)</f>
        <v>0</v>
      </c>
      <c r="P1251" s="672"/>
      <c r="Q1251" s="729" t="e">
        <f>IF(O1251="",0,P1251*L1251/'9b-Vloeronderhoud'!$F$6)</f>
        <v>#DIV/0!</v>
      </c>
      <c r="R1251" s="449">
        <v>1</v>
      </c>
      <c r="S1251" s="672">
        <v>190</v>
      </c>
      <c r="T1251" s="161" t="e">
        <f t="shared" si="101"/>
        <v>#DIV/0!</v>
      </c>
      <c r="U1251" s="162">
        <f>IF(S1251="nio",0,IF(S1251&gt;0,VLOOKUP(G1251,'3-Productie normen'!A:K,VLOOKUP(S1251,'3-Productie normen'!L:N,3,FALSE),FALSE)))</f>
        <v>0</v>
      </c>
      <c r="V1251" s="162">
        <f>VLOOKUP(G1251,'3-Productie normen'!A:K,10,FALSE)</f>
        <v>1859.5880019121171</v>
      </c>
      <c r="W1251" s="163">
        <f>VLOOKUP(G1251,'3-Productie normen'!A:K,11,FALSE)</f>
        <v>0</v>
      </c>
      <c r="X1251" s="163"/>
      <c r="Z1251" s="129">
        <f t="shared" si="102"/>
        <v>1276.7999601364136</v>
      </c>
    </row>
    <row r="1252" spans="1:26" ht="14.1" customHeight="1">
      <c r="A1252" s="144">
        <v>1290</v>
      </c>
      <c r="B1252" s="525" t="s">
        <v>424</v>
      </c>
      <c r="C1252" s="160" t="s">
        <v>515</v>
      </c>
      <c r="D1252" s="493" t="s">
        <v>98</v>
      </c>
      <c r="E1252" s="712" t="s">
        <v>502</v>
      </c>
      <c r="F1252" s="492" t="s">
        <v>283</v>
      </c>
      <c r="G1252" s="4" t="s">
        <v>286</v>
      </c>
      <c r="H1252" s="492" t="s">
        <v>100</v>
      </c>
      <c r="I1252" s="582" t="str">
        <f>VLOOKUP(H1252,'9a-Typen vloeren'!$A$10:$B$40,2,FALSE)</f>
        <v>Sprayen/ conserveren</v>
      </c>
      <c r="J1252" s="586">
        <v>76.760002136230469</v>
      </c>
      <c r="K1252" s="433">
        <f t="shared" si="98"/>
        <v>76.760002136230469</v>
      </c>
      <c r="L1252" s="433">
        <f t="shared" si="99"/>
        <v>0</v>
      </c>
      <c r="M1252" s="433">
        <f t="shared" si="100"/>
        <v>0</v>
      </c>
      <c r="N1252" s="672">
        <v>2</v>
      </c>
      <c r="O1252" s="729" t="e">
        <f>IF(N1252="",0,N1252*K1252/'9b-Vloeronderhoud'!$F$4)</f>
        <v>#DIV/0!</v>
      </c>
      <c r="P1252" s="672"/>
      <c r="Q1252" s="729" t="e">
        <f>IF(O1252="",0,P1252*L1252/'9b-Vloeronderhoud'!$F$6)</f>
        <v>#DIV/0!</v>
      </c>
      <c r="R1252" s="449">
        <v>1</v>
      </c>
      <c r="S1252" s="672">
        <v>120</v>
      </c>
      <c r="T1252" s="161" t="e">
        <f t="shared" si="101"/>
        <v>#DIV/0!</v>
      </c>
      <c r="U1252" s="162">
        <f>IF(S1252="nio",0,IF(S1252&gt;0,VLOOKUP(G1252,'3-Productie normen'!A:K,VLOOKUP(S1252,'3-Productie normen'!L:N,3,FALSE),FALSE)))</f>
        <v>0</v>
      </c>
      <c r="V1252" s="162">
        <f>VLOOKUP(G1252,'3-Productie normen'!A:K,10,FALSE)</f>
        <v>6152.9500017547598</v>
      </c>
      <c r="W1252" s="163">
        <f>VLOOKUP(G1252,'3-Productie normen'!A:K,11,FALSE)</f>
        <v>0</v>
      </c>
      <c r="X1252" s="163"/>
      <c r="Z1252" s="129">
        <f t="shared" si="102"/>
        <v>9211.2002563476563</v>
      </c>
    </row>
    <row r="1253" spans="1:26" ht="14.1" customHeight="1">
      <c r="A1253" s="144">
        <v>1291</v>
      </c>
      <c r="B1253" s="646" t="s">
        <v>236</v>
      </c>
      <c r="C1253" s="646" t="s">
        <v>514</v>
      </c>
      <c r="D1253" s="647" t="s">
        <v>98</v>
      </c>
      <c r="E1253" s="719" t="s">
        <v>294</v>
      </c>
      <c r="F1253" s="646" t="s">
        <v>99</v>
      </c>
      <c r="G1253" s="648" t="s">
        <v>99</v>
      </c>
      <c r="H1253" s="649" t="s">
        <v>332</v>
      </c>
      <c r="I1253" s="582" t="str">
        <f>VLOOKUP(H1253,'9a-Typen vloeren'!$A$10:$B$40,2,FALSE)</f>
        <v>Sproei/extraheren</v>
      </c>
      <c r="J1253" s="654">
        <v>7.1999998092651367</v>
      </c>
      <c r="K1253" s="433">
        <f t="shared" si="98"/>
        <v>0</v>
      </c>
      <c r="L1253" s="433">
        <f t="shared" si="99"/>
        <v>0</v>
      </c>
      <c r="M1253" s="433">
        <f t="shared" si="100"/>
        <v>7.1999998092651367</v>
      </c>
      <c r="N1253" s="672"/>
      <c r="O1253" s="729">
        <f>IF(N1253="",0,N1253*K1253/'9b-Vloeronderhoud'!$F$4)</f>
        <v>0</v>
      </c>
      <c r="P1253" s="672"/>
      <c r="Q1253" s="729" t="e">
        <f>IF(O1253="",0,P1253*L1253/'9b-Vloeronderhoud'!$F$6)</f>
        <v>#DIV/0!</v>
      </c>
      <c r="R1253" s="449">
        <v>1</v>
      </c>
      <c r="S1253" s="672">
        <v>190</v>
      </c>
      <c r="T1253" s="161" t="e">
        <f t="shared" si="101"/>
        <v>#DIV/0!</v>
      </c>
      <c r="U1253" s="162">
        <f>IF(S1253="nio",0,IF(S1253&gt;0,VLOOKUP(G1253,'3-Productie normen'!A:K,VLOOKUP(S1253,'3-Productie normen'!L:N,3,FALSE),FALSE)))</f>
        <v>0</v>
      </c>
      <c r="V1253" s="162">
        <f>VLOOKUP(G1253,'3-Productie normen'!A:K,10,FALSE)</f>
        <v>726.97999910354622</v>
      </c>
      <c r="W1253" s="163">
        <f>VLOOKUP(G1253,'3-Productie normen'!A:K,11,FALSE)</f>
        <v>0</v>
      </c>
      <c r="X1253" s="163"/>
      <c r="Z1253" s="129">
        <f t="shared" si="102"/>
        <v>1367.999963760376</v>
      </c>
    </row>
    <row r="1254" spans="1:26" ht="14.1" customHeight="1">
      <c r="A1254" s="144">
        <v>1292</v>
      </c>
      <c r="B1254" s="646" t="s">
        <v>236</v>
      </c>
      <c r="C1254" s="646" t="s">
        <v>514</v>
      </c>
      <c r="D1254" s="647" t="s">
        <v>98</v>
      </c>
      <c r="E1254" s="719" t="s">
        <v>295</v>
      </c>
      <c r="F1254" s="646" t="s">
        <v>404</v>
      </c>
      <c r="G1254" s="650" t="s">
        <v>286</v>
      </c>
      <c r="H1254" s="649" t="s">
        <v>100</v>
      </c>
      <c r="I1254" s="582" t="str">
        <f>VLOOKUP(H1254,'9a-Typen vloeren'!$A$10:$B$40,2,FALSE)</f>
        <v>Sprayen/ conserveren</v>
      </c>
      <c r="J1254" s="654">
        <v>14.199999809265137</v>
      </c>
      <c r="K1254" s="433">
        <f t="shared" si="98"/>
        <v>14.199999809265137</v>
      </c>
      <c r="L1254" s="433">
        <f t="shared" si="99"/>
        <v>0</v>
      </c>
      <c r="M1254" s="433">
        <f t="shared" si="100"/>
        <v>0</v>
      </c>
      <c r="N1254" s="672">
        <v>2</v>
      </c>
      <c r="O1254" s="729" t="e">
        <f>IF(N1254="",0,N1254*K1254/'9b-Vloeronderhoud'!$F$4)</f>
        <v>#DIV/0!</v>
      </c>
      <c r="P1254" s="672"/>
      <c r="Q1254" s="729" t="e">
        <f>IF(O1254="",0,P1254*L1254/'9b-Vloeronderhoud'!$F$6)</f>
        <v>#DIV/0!</v>
      </c>
      <c r="R1254" s="449">
        <v>1</v>
      </c>
      <c r="S1254" s="672">
        <v>120</v>
      </c>
      <c r="T1254" s="161" t="e">
        <f t="shared" si="101"/>
        <v>#DIV/0!</v>
      </c>
      <c r="U1254" s="162">
        <f>IF(S1254="nio",0,IF(S1254&gt;0,VLOOKUP(G1254,'3-Productie normen'!A:K,VLOOKUP(S1254,'3-Productie normen'!L:N,3,FALSE),FALSE)))</f>
        <v>0</v>
      </c>
      <c r="V1254" s="162">
        <f>VLOOKUP(G1254,'3-Productie normen'!A:K,10,FALSE)</f>
        <v>6152.9500017547598</v>
      </c>
      <c r="W1254" s="163">
        <f>VLOOKUP(G1254,'3-Productie normen'!A:K,11,FALSE)</f>
        <v>0</v>
      </c>
      <c r="X1254" s="163"/>
      <c r="Z1254" s="129">
        <f t="shared" si="102"/>
        <v>1703.9999771118164</v>
      </c>
    </row>
    <row r="1255" spans="1:26" ht="14.1" customHeight="1">
      <c r="A1255" s="144">
        <v>1293</v>
      </c>
      <c r="B1255" s="646" t="s">
        <v>236</v>
      </c>
      <c r="C1255" s="646" t="s">
        <v>514</v>
      </c>
      <c r="D1255" s="647" t="s">
        <v>98</v>
      </c>
      <c r="E1255" s="719" t="s">
        <v>296</v>
      </c>
      <c r="F1255" s="646" t="s">
        <v>297</v>
      </c>
      <c r="G1255" s="658" t="s">
        <v>189</v>
      </c>
      <c r="H1255" s="662" t="s">
        <v>100</v>
      </c>
      <c r="I1255" s="582" t="str">
        <f>VLOOKUP(H1255,'9a-Typen vloeren'!$A$10:$B$40,2,FALSE)</f>
        <v>Sprayen/ conserveren</v>
      </c>
      <c r="J1255" s="654">
        <v>25.190000534057617</v>
      </c>
      <c r="K1255" s="433">
        <f t="shared" si="98"/>
        <v>25.190000534057617</v>
      </c>
      <c r="L1255" s="433">
        <f t="shared" si="99"/>
        <v>0</v>
      </c>
      <c r="M1255" s="433">
        <f t="shared" si="100"/>
        <v>0</v>
      </c>
      <c r="N1255" s="672"/>
      <c r="O1255" s="729">
        <f>IF(N1255="",0,N1255*K1255/'9b-Vloeronderhoud'!$F$4)</f>
        <v>0</v>
      </c>
      <c r="P1255" s="672"/>
      <c r="Q1255" s="729" t="e">
        <f>IF(O1255="",0,P1255*L1255/'9b-Vloeronderhoud'!$F$6)</f>
        <v>#DIV/0!</v>
      </c>
      <c r="R1255" s="449">
        <v>1</v>
      </c>
      <c r="S1255" s="672">
        <v>40</v>
      </c>
      <c r="T1255" s="161" t="e">
        <f t="shared" si="101"/>
        <v>#DIV/0!</v>
      </c>
      <c r="U1255" s="162">
        <f>IF(S1255="nio",0,IF(S1255&gt;0,VLOOKUP(G1255,'3-Productie normen'!A:K,VLOOKUP(S1255,'3-Productie normen'!L:N,3,FALSE),FALSE)))</f>
        <v>0</v>
      </c>
      <c r="V1255" s="162">
        <f>VLOOKUP(G1255,'3-Productie normen'!A:K,10,FALSE)</f>
        <v>1494.1700078582762</v>
      </c>
      <c r="W1255" s="163">
        <f>VLOOKUP(G1255,'3-Productie normen'!A:K,11,FALSE)</f>
        <v>0</v>
      </c>
      <c r="X1255" s="163"/>
      <c r="Z1255" s="129">
        <f t="shared" si="102"/>
        <v>1007.6000213623047</v>
      </c>
    </row>
    <row r="1256" spans="1:26" ht="14.1" customHeight="1">
      <c r="A1256" s="144">
        <v>1294</v>
      </c>
      <c r="B1256" s="646" t="s">
        <v>236</v>
      </c>
      <c r="C1256" s="646" t="s">
        <v>514</v>
      </c>
      <c r="D1256" s="647" t="s">
        <v>98</v>
      </c>
      <c r="E1256" s="719" t="s">
        <v>298</v>
      </c>
      <c r="F1256" s="646" t="s">
        <v>852</v>
      </c>
      <c r="G1256" s="650" t="s">
        <v>286</v>
      </c>
      <c r="H1256" s="649" t="s">
        <v>100</v>
      </c>
      <c r="I1256" s="582" t="str">
        <f>VLOOKUP(H1256,'9a-Typen vloeren'!$A$10:$B$40,2,FALSE)</f>
        <v>Sprayen/ conserveren</v>
      </c>
      <c r="J1256" s="654">
        <v>50</v>
      </c>
      <c r="K1256" s="433">
        <f t="shared" si="98"/>
        <v>50</v>
      </c>
      <c r="L1256" s="433">
        <f t="shared" si="99"/>
        <v>0</v>
      </c>
      <c r="M1256" s="433">
        <f t="shared" si="100"/>
        <v>0</v>
      </c>
      <c r="N1256" s="672">
        <v>2</v>
      </c>
      <c r="O1256" s="729" t="e">
        <f>IF(N1256="",0,N1256*K1256/'9b-Vloeronderhoud'!$F$4)</f>
        <v>#DIV/0!</v>
      </c>
      <c r="P1256" s="672"/>
      <c r="Q1256" s="729" t="e">
        <f>IF(O1256="",0,P1256*L1256/'9b-Vloeronderhoud'!$F$6)</f>
        <v>#DIV/0!</v>
      </c>
      <c r="R1256" s="449">
        <v>1</v>
      </c>
      <c r="S1256" s="672">
        <v>120</v>
      </c>
      <c r="T1256" s="161" t="e">
        <f t="shared" si="101"/>
        <v>#DIV/0!</v>
      </c>
      <c r="U1256" s="162">
        <f>IF(S1256="nio",0,IF(S1256&gt;0,VLOOKUP(G1256,'3-Productie normen'!A:K,VLOOKUP(S1256,'3-Productie normen'!L:N,3,FALSE),FALSE)))</f>
        <v>0</v>
      </c>
      <c r="V1256" s="162">
        <f>VLOOKUP(G1256,'3-Productie normen'!A:K,10,FALSE)</f>
        <v>6152.9500017547598</v>
      </c>
      <c r="W1256" s="163">
        <f>VLOOKUP(G1256,'3-Productie normen'!A:K,11,FALSE)</f>
        <v>0</v>
      </c>
      <c r="X1256" s="163"/>
      <c r="Z1256" s="129">
        <f t="shared" si="102"/>
        <v>6000</v>
      </c>
    </row>
    <row r="1257" spans="1:26" ht="14.1" customHeight="1">
      <c r="A1257" s="144">
        <v>1295</v>
      </c>
      <c r="B1257" s="646" t="s">
        <v>236</v>
      </c>
      <c r="C1257" s="646" t="s">
        <v>514</v>
      </c>
      <c r="D1257" s="647" t="s">
        <v>98</v>
      </c>
      <c r="E1257" s="719" t="s">
        <v>300</v>
      </c>
      <c r="F1257" s="646" t="s">
        <v>287</v>
      </c>
      <c r="G1257" s="648" t="s">
        <v>287</v>
      </c>
      <c r="H1257" s="649" t="s">
        <v>378</v>
      </c>
      <c r="I1257" s="582" t="str">
        <f>VLOOKUP(H1257,'9a-Typen vloeren'!$A$10:$B$40,2,FALSE)</f>
        <v>n.v.t.</v>
      </c>
      <c r="J1257" s="654">
        <v>44.900001525878906</v>
      </c>
      <c r="K1257" s="433">
        <f t="shared" si="98"/>
        <v>0</v>
      </c>
      <c r="L1257" s="433">
        <f t="shared" si="99"/>
        <v>0</v>
      </c>
      <c r="M1257" s="433">
        <f t="shared" si="100"/>
        <v>0</v>
      </c>
      <c r="N1257" s="672"/>
      <c r="O1257" s="729">
        <f>IF(N1257="",0,N1257*K1257/'9b-Vloeronderhoud'!$F$4)</f>
        <v>0</v>
      </c>
      <c r="P1257" s="672"/>
      <c r="Q1257" s="729" t="e">
        <f>IF(O1257="",0,P1257*L1257/'9b-Vloeronderhoud'!$F$6)</f>
        <v>#DIV/0!</v>
      </c>
      <c r="R1257" s="449">
        <v>1</v>
      </c>
      <c r="S1257" s="672">
        <v>80</v>
      </c>
      <c r="T1257" s="161" t="e">
        <f t="shared" si="101"/>
        <v>#DIV/0!</v>
      </c>
      <c r="U1257" s="162">
        <f>IF(S1257="nio",0,IF(S1257&gt;0,VLOOKUP(G1257,'3-Productie normen'!A:K,VLOOKUP(S1257,'3-Productie normen'!L:N,3,FALSE),FALSE)))</f>
        <v>0</v>
      </c>
      <c r="V1257" s="162">
        <f>VLOOKUP(G1257,'3-Productie normen'!A:K,10,FALSE)</f>
        <v>519.460002565384</v>
      </c>
      <c r="W1257" s="163">
        <f>VLOOKUP(G1257,'3-Productie normen'!A:K,11,FALSE)</f>
        <v>0</v>
      </c>
      <c r="X1257" s="163"/>
      <c r="Z1257" s="129">
        <f t="shared" si="102"/>
        <v>3592.0001220703125</v>
      </c>
    </row>
    <row r="1258" spans="1:26" ht="14.1" customHeight="1">
      <c r="A1258" s="144">
        <v>1296</v>
      </c>
      <c r="B1258" s="646" t="s">
        <v>236</v>
      </c>
      <c r="C1258" s="646" t="s">
        <v>514</v>
      </c>
      <c r="D1258" s="647" t="s">
        <v>98</v>
      </c>
      <c r="E1258" s="719" t="s">
        <v>301</v>
      </c>
      <c r="F1258" s="646" t="s">
        <v>285</v>
      </c>
      <c r="G1258" s="645" t="s">
        <v>285</v>
      </c>
      <c r="H1258" s="649" t="s">
        <v>100</v>
      </c>
      <c r="I1258" s="582" t="str">
        <f>VLOOKUP(H1258,'9a-Typen vloeren'!$A$10:$B$40,2,FALSE)</f>
        <v>Sprayen/ conserveren</v>
      </c>
      <c r="J1258" s="654">
        <v>49.200000762939453</v>
      </c>
      <c r="K1258" s="433">
        <f t="shared" si="98"/>
        <v>49.200000762939453</v>
      </c>
      <c r="L1258" s="433">
        <f t="shared" si="99"/>
        <v>0</v>
      </c>
      <c r="M1258" s="433">
        <f t="shared" si="100"/>
        <v>0</v>
      </c>
      <c r="N1258" s="672"/>
      <c r="O1258" s="729">
        <f>IF(N1258="",0,N1258*K1258/'9b-Vloeronderhoud'!$F$4)</f>
        <v>0</v>
      </c>
      <c r="P1258" s="672"/>
      <c r="Q1258" s="729" t="e">
        <f>IF(O1258="",0,P1258*L1258/'9b-Vloeronderhoud'!$F$6)</f>
        <v>#DIV/0!</v>
      </c>
      <c r="R1258" s="449">
        <v>1</v>
      </c>
      <c r="S1258" s="672">
        <v>190</v>
      </c>
      <c r="T1258" s="161" t="e">
        <f t="shared" si="101"/>
        <v>#DIV/0!</v>
      </c>
      <c r="U1258" s="162">
        <f>IF(S1258="nio",0,IF(S1258&gt;0,VLOOKUP(G1258,'3-Productie normen'!A:K,VLOOKUP(S1258,'3-Productie normen'!L:N,3,FALSE),FALSE)))</f>
        <v>0</v>
      </c>
      <c r="V1258" s="162">
        <f>VLOOKUP(G1258,'3-Productie normen'!A:K,10,FALSE)</f>
        <v>3305.8200070953367</v>
      </c>
      <c r="W1258" s="163">
        <f>VLOOKUP(G1258,'3-Productie normen'!A:K,11,FALSE)</f>
        <v>0</v>
      </c>
      <c r="X1258" s="163"/>
      <c r="Z1258" s="129">
        <f t="shared" si="102"/>
        <v>9348.0001449584961</v>
      </c>
    </row>
    <row r="1259" spans="1:26" ht="14.1" customHeight="1">
      <c r="A1259" s="144">
        <v>1297</v>
      </c>
      <c r="B1259" s="646" t="s">
        <v>236</v>
      </c>
      <c r="C1259" s="646" t="s">
        <v>514</v>
      </c>
      <c r="D1259" s="647" t="s">
        <v>98</v>
      </c>
      <c r="E1259" s="719" t="s">
        <v>303</v>
      </c>
      <c r="F1259" s="646" t="s">
        <v>365</v>
      </c>
      <c r="G1259" s="658" t="s">
        <v>189</v>
      </c>
      <c r="H1259" s="662" t="s">
        <v>100</v>
      </c>
      <c r="I1259" s="582" t="str">
        <f>VLOOKUP(H1259,'9a-Typen vloeren'!$A$10:$B$40,2,FALSE)</f>
        <v>Sprayen/ conserveren</v>
      </c>
      <c r="J1259" s="654">
        <v>13.850000381469727</v>
      </c>
      <c r="K1259" s="433">
        <f t="shared" si="98"/>
        <v>13.850000381469727</v>
      </c>
      <c r="L1259" s="433">
        <f t="shared" si="99"/>
        <v>0</v>
      </c>
      <c r="M1259" s="433">
        <f t="shared" si="100"/>
        <v>0</v>
      </c>
      <c r="N1259" s="672"/>
      <c r="O1259" s="729">
        <f>IF(N1259="",0,N1259*K1259/'9b-Vloeronderhoud'!$F$4)</f>
        <v>0</v>
      </c>
      <c r="P1259" s="672"/>
      <c r="Q1259" s="729" t="e">
        <f>IF(O1259="",0,P1259*L1259/'9b-Vloeronderhoud'!$F$6)</f>
        <v>#DIV/0!</v>
      </c>
      <c r="R1259" s="449">
        <v>1</v>
      </c>
      <c r="S1259" s="672">
        <v>40</v>
      </c>
      <c r="T1259" s="161" t="e">
        <f t="shared" si="101"/>
        <v>#DIV/0!</v>
      </c>
      <c r="U1259" s="162">
        <f>IF(S1259="nio",0,IF(S1259&gt;0,VLOOKUP(G1259,'3-Productie normen'!A:K,VLOOKUP(S1259,'3-Productie normen'!L:N,3,FALSE),FALSE)))</f>
        <v>0</v>
      </c>
      <c r="V1259" s="162">
        <f>VLOOKUP(G1259,'3-Productie normen'!A:K,10,FALSE)</f>
        <v>1494.1700078582762</v>
      </c>
      <c r="W1259" s="163">
        <f>VLOOKUP(G1259,'3-Productie normen'!A:K,11,FALSE)</f>
        <v>0</v>
      </c>
      <c r="X1259" s="163"/>
      <c r="Z1259" s="129">
        <f t="shared" si="102"/>
        <v>554.00001525878906</v>
      </c>
    </row>
    <row r="1260" spans="1:26" ht="14.1" customHeight="1">
      <c r="A1260" s="144">
        <v>1298</v>
      </c>
      <c r="B1260" s="646" t="s">
        <v>236</v>
      </c>
      <c r="C1260" s="646" t="s">
        <v>514</v>
      </c>
      <c r="D1260" s="647" t="s">
        <v>98</v>
      </c>
      <c r="E1260" s="719" t="s">
        <v>305</v>
      </c>
      <c r="F1260" s="646" t="s">
        <v>302</v>
      </c>
      <c r="G1260" s="650" t="s">
        <v>18</v>
      </c>
      <c r="H1260" s="649" t="s">
        <v>335</v>
      </c>
      <c r="I1260" s="582" t="str">
        <f>VLOOKUP(H1260,'9a-Typen vloeren'!$A$10:$B$40,2,FALSE)</f>
        <v>Schrobben</v>
      </c>
      <c r="J1260" s="654">
        <v>3.5999999046325684</v>
      </c>
      <c r="K1260" s="433">
        <f t="shared" si="98"/>
        <v>0</v>
      </c>
      <c r="L1260" s="433">
        <f t="shared" si="99"/>
        <v>3.5999999046325684</v>
      </c>
      <c r="M1260" s="433">
        <f t="shared" si="100"/>
        <v>0</v>
      </c>
      <c r="N1260" s="672"/>
      <c r="O1260" s="729">
        <f>IF(N1260="",0,N1260*K1260/'9b-Vloeronderhoud'!$F$4)</f>
        <v>0</v>
      </c>
      <c r="P1260" s="672"/>
      <c r="Q1260" s="729" t="e">
        <f>IF(O1260="",0,P1260*L1260/'9b-Vloeronderhoud'!$F$6)</f>
        <v>#DIV/0!</v>
      </c>
      <c r="R1260" s="449">
        <v>1</v>
      </c>
      <c r="S1260" s="672">
        <v>190</v>
      </c>
      <c r="T1260" s="161" t="e">
        <f t="shared" si="101"/>
        <v>#DIV/0!</v>
      </c>
      <c r="U1260" s="162">
        <f>IF(S1260="nio",0,IF(S1260&gt;0,VLOOKUP(G1260,'3-Productie normen'!A:K,VLOOKUP(S1260,'3-Productie normen'!L:N,3,FALSE),FALSE)))</f>
        <v>0</v>
      </c>
      <c r="V1260" s="162">
        <f>VLOOKUP(G1260,'3-Productie normen'!A:K,10,FALSE)</f>
        <v>1859.5880019121171</v>
      </c>
      <c r="W1260" s="163">
        <f>VLOOKUP(G1260,'3-Productie normen'!A:K,11,FALSE)</f>
        <v>0</v>
      </c>
      <c r="X1260" s="163"/>
      <c r="Z1260" s="129">
        <f t="shared" si="102"/>
        <v>683.99998188018799</v>
      </c>
    </row>
    <row r="1261" spans="1:26" ht="14.1" customHeight="1">
      <c r="A1261" s="144">
        <v>1299</v>
      </c>
      <c r="B1261" s="646" t="s">
        <v>236</v>
      </c>
      <c r="C1261" s="646" t="s">
        <v>514</v>
      </c>
      <c r="D1261" s="647" t="s">
        <v>98</v>
      </c>
      <c r="E1261" s="719" t="s">
        <v>306</v>
      </c>
      <c r="F1261" s="646" t="s">
        <v>302</v>
      </c>
      <c r="G1261" s="650" t="s">
        <v>18</v>
      </c>
      <c r="H1261" s="649" t="s">
        <v>335</v>
      </c>
      <c r="I1261" s="582" t="str">
        <f>VLOOKUP(H1261,'9a-Typen vloeren'!$A$10:$B$40,2,FALSE)</f>
        <v>Schrobben</v>
      </c>
      <c r="J1261" s="654">
        <v>5.6999998092651367</v>
      </c>
      <c r="K1261" s="433">
        <f t="shared" si="98"/>
        <v>0</v>
      </c>
      <c r="L1261" s="433">
        <f t="shared" si="99"/>
        <v>5.6999998092651367</v>
      </c>
      <c r="M1261" s="433">
        <f t="shared" si="100"/>
        <v>0</v>
      </c>
      <c r="N1261" s="672"/>
      <c r="O1261" s="729">
        <f>IF(N1261="",0,N1261*K1261/'9b-Vloeronderhoud'!$F$4)</f>
        <v>0</v>
      </c>
      <c r="P1261" s="672"/>
      <c r="Q1261" s="729" t="e">
        <f>IF(O1261="",0,P1261*L1261/'9b-Vloeronderhoud'!$F$6)</f>
        <v>#DIV/0!</v>
      </c>
      <c r="R1261" s="449">
        <v>1</v>
      </c>
      <c r="S1261" s="672">
        <v>190</v>
      </c>
      <c r="T1261" s="161" t="e">
        <f t="shared" si="101"/>
        <v>#DIV/0!</v>
      </c>
      <c r="U1261" s="162">
        <f>IF(S1261="nio",0,IF(S1261&gt;0,VLOOKUP(G1261,'3-Productie normen'!A:K,VLOOKUP(S1261,'3-Productie normen'!L:N,3,FALSE),FALSE)))</f>
        <v>0</v>
      </c>
      <c r="V1261" s="162">
        <f>VLOOKUP(G1261,'3-Productie normen'!A:K,10,FALSE)</f>
        <v>1859.5880019121171</v>
      </c>
      <c r="W1261" s="163">
        <f>VLOOKUP(G1261,'3-Productie normen'!A:K,11,FALSE)</f>
        <v>0</v>
      </c>
      <c r="X1261" s="163"/>
      <c r="Z1261" s="129">
        <f t="shared" si="102"/>
        <v>1082.999963760376</v>
      </c>
    </row>
    <row r="1262" spans="1:26" ht="14.1" customHeight="1">
      <c r="A1262" s="144">
        <v>1300</v>
      </c>
      <c r="B1262" s="646" t="s">
        <v>236</v>
      </c>
      <c r="C1262" s="646" t="s">
        <v>514</v>
      </c>
      <c r="D1262" s="647" t="s">
        <v>98</v>
      </c>
      <c r="E1262" s="719" t="s">
        <v>307</v>
      </c>
      <c r="F1262" s="646" t="s">
        <v>221</v>
      </c>
      <c r="G1262" s="648" t="s">
        <v>221</v>
      </c>
      <c r="H1262" s="649" t="s">
        <v>100</v>
      </c>
      <c r="I1262" s="582" t="str">
        <f>VLOOKUP(H1262,'9a-Typen vloeren'!$A$10:$B$40,2,FALSE)</f>
        <v>Sprayen/ conserveren</v>
      </c>
      <c r="J1262" s="654">
        <v>54.200000762939453</v>
      </c>
      <c r="K1262" s="433">
        <f t="shared" si="98"/>
        <v>54.200000762939453</v>
      </c>
      <c r="L1262" s="433">
        <f t="shared" si="99"/>
        <v>0</v>
      </c>
      <c r="M1262" s="433">
        <f t="shared" si="100"/>
        <v>0</v>
      </c>
      <c r="N1262" s="672"/>
      <c r="O1262" s="729">
        <f>IF(N1262="",0,N1262*K1262/'9b-Vloeronderhoud'!$F$4)</f>
        <v>0</v>
      </c>
      <c r="P1262" s="672"/>
      <c r="Q1262" s="729" t="e">
        <f>IF(O1262="",0,P1262*L1262/'9b-Vloeronderhoud'!$F$6)</f>
        <v>#DIV/0!</v>
      </c>
      <c r="R1262" s="449">
        <v>1</v>
      </c>
      <c r="S1262" s="672">
        <v>80</v>
      </c>
      <c r="T1262" s="161" t="e">
        <f t="shared" si="101"/>
        <v>#DIV/0!</v>
      </c>
      <c r="U1262" s="162">
        <f>IF(S1262="nio",0,IF(S1262&gt;0,VLOOKUP(G1262,'3-Productie normen'!A:K,VLOOKUP(S1262,'3-Productie normen'!L:N,3,FALSE),FALSE)))</f>
        <v>0</v>
      </c>
      <c r="V1262" s="162">
        <f>VLOOKUP(G1262,'3-Productie normen'!A:K,10,FALSE)</f>
        <v>16013.110036668773</v>
      </c>
      <c r="W1262" s="163">
        <f>VLOOKUP(G1262,'3-Productie normen'!A:K,11,FALSE)</f>
        <v>0</v>
      </c>
      <c r="X1262" s="163"/>
      <c r="Z1262" s="129">
        <f t="shared" si="102"/>
        <v>4336.0000610351563</v>
      </c>
    </row>
    <row r="1263" spans="1:26" ht="14.1" customHeight="1">
      <c r="A1263" s="144">
        <v>1301</v>
      </c>
      <c r="B1263" s="646" t="s">
        <v>236</v>
      </c>
      <c r="C1263" s="646" t="s">
        <v>514</v>
      </c>
      <c r="D1263" s="647" t="s">
        <v>98</v>
      </c>
      <c r="E1263" s="719" t="s">
        <v>309</v>
      </c>
      <c r="F1263" s="646" t="s">
        <v>285</v>
      </c>
      <c r="G1263" s="645" t="s">
        <v>285</v>
      </c>
      <c r="H1263" s="649" t="s">
        <v>100</v>
      </c>
      <c r="I1263" s="582" t="str">
        <f>VLOOKUP(H1263,'9a-Typen vloeren'!$A$10:$B$40,2,FALSE)</f>
        <v>Sprayen/ conserveren</v>
      </c>
      <c r="J1263" s="654">
        <v>54.200000762939453</v>
      </c>
      <c r="K1263" s="433">
        <f t="shared" si="98"/>
        <v>54.200000762939453</v>
      </c>
      <c r="L1263" s="433">
        <f t="shared" si="99"/>
        <v>0</v>
      </c>
      <c r="M1263" s="433">
        <f t="shared" si="100"/>
        <v>0</v>
      </c>
      <c r="N1263" s="672"/>
      <c r="O1263" s="729">
        <f>IF(N1263="",0,N1263*K1263/'9b-Vloeronderhoud'!$F$4)</f>
        <v>0</v>
      </c>
      <c r="P1263" s="672"/>
      <c r="Q1263" s="729" t="e">
        <f>IF(O1263="",0,P1263*L1263/'9b-Vloeronderhoud'!$F$6)</f>
        <v>#DIV/0!</v>
      </c>
      <c r="R1263" s="449">
        <v>1</v>
      </c>
      <c r="S1263" s="672">
        <v>190</v>
      </c>
      <c r="T1263" s="161" t="e">
        <f t="shared" si="101"/>
        <v>#DIV/0!</v>
      </c>
      <c r="U1263" s="162">
        <f>IF(S1263="nio",0,IF(S1263&gt;0,VLOOKUP(G1263,'3-Productie normen'!A:K,VLOOKUP(S1263,'3-Productie normen'!L:N,3,FALSE),FALSE)))</f>
        <v>0</v>
      </c>
      <c r="V1263" s="162">
        <f>VLOOKUP(G1263,'3-Productie normen'!A:K,10,FALSE)</f>
        <v>3305.8200070953367</v>
      </c>
      <c r="W1263" s="163">
        <f>VLOOKUP(G1263,'3-Productie normen'!A:K,11,FALSE)</f>
        <v>0</v>
      </c>
      <c r="X1263" s="163"/>
      <c r="Z1263" s="129">
        <f t="shared" si="102"/>
        <v>10298.000144958496</v>
      </c>
    </row>
    <row r="1264" spans="1:26" ht="14.1" customHeight="1">
      <c r="A1264" s="144">
        <v>1302</v>
      </c>
      <c r="B1264" s="646" t="s">
        <v>236</v>
      </c>
      <c r="C1264" s="646" t="s">
        <v>514</v>
      </c>
      <c r="D1264" s="647" t="s">
        <v>98</v>
      </c>
      <c r="E1264" s="719" t="s">
        <v>311</v>
      </c>
      <c r="F1264" s="646" t="s">
        <v>365</v>
      </c>
      <c r="G1264" s="658" t="s">
        <v>189</v>
      </c>
      <c r="H1264" s="662" t="s">
        <v>100</v>
      </c>
      <c r="I1264" s="582" t="str">
        <f>VLOOKUP(H1264,'9a-Typen vloeren'!$A$10:$B$40,2,FALSE)</f>
        <v>Sprayen/ conserveren</v>
      </c>
      <c r="J1264" s="654">
        <v>13.850000381469727</v>
      </c>
      <c r="K1264" s="433">
        <f t="shared" si="98"/>
        <v>13.850000381469727</v>
      </c>
      <c r="L1264" s="433">
        <f t="shared" si="99"/>
        <v>0</v>
      </c>
      <c r="M1264" s="433">
        <f t="shared" si="100"/>
        <v>0</v>
      </c>
      <c r="N1264" s="672"/>
      <c r="O1264" s="729">
        <f>IF(N1264="",0,N1264*K1264/'9b-Vloeronderhoud'!$F$4)</f>
        <v>0</v>
      </c>
      <c r="P1264" s="672"/>
      <c r="Q1264" s="729" t="e">
        <f>IF(O1264="",0,P1264*L1264/'9b-Vloeronderhoud'!$F$6)</f>
        <v>#DIV/0!</v>
      </c>
      <c r="R1264" s="449">
        <v>1</v>
      </c>
      <c r="S1264" s="672">
        <v>40</v>
      </c>
      <c r="T1264" s="161" t="e">
        <f t="shared" si="101"/>
        <v>#DIV/0!</v>
      </c>
      <c r="U1264" s="162">
        <f>IF(S1264="nio",0,IF(S1264&gt;0,VLOOKUP(G1264,'3-Productie normen'!A:K,VLOOKUP(S1264,'3-Productie normen'!L:N,3,FALSE),FALSE)))</f>
        <v>0</v>
      </c>
      <c r="V1264" s="162">
        <f>VLOOKUP(G1264,'3-Productie normen'!A:K,10,FALSE)</f>
        <v>1494.1700078582762</v>
      </c>
      <c r="W1264" s="163">
        <f>VLOOKUP(G1264,'3-Productie normen'!A:K,11,FALSE)</f>
        <v>0</v>
      </c>
      <c r="X1264" s="163"/>
      <c r="Z1264" s="129">
        <f t="shared" si="102"/>
        <v>554.00001525878906</v>
      </c>
    </row>
    <row r="1265" spans="1:26" ht="14.1" customHeight="1">
      <c r="A1265" s="144">
        <v>1303</v>
      </c>
      <c r="B1265" s="646" t="s">
        <v>236</v>
      </c>
      <c r="C1265" s="646" t="s">
        <v>514</v>
      </c>
      <c r="D1265" s="647" t="s">
        <v>98</v>
      </c>
      <c r="E1265" s="719" t="s">
        <v>312</v>
      </c>
      <c r="F1265" s="646" t="s">
        <v>302</v>
      </c>
      <c r="G1265" s="650" t="s">
        <v>18</v>
      </c>
      <c r="H1265" s="649" t="s">
        <v>335</v>
      </c>
      <c r="I1265" s="582" t="str">
        <f>VLOOKUP(H1265,'9a-Typen vloeren'!$A$10:$B$40,2,FALSE)</f>
        <v>Schrobben</v>
      </c>
      <c r="J1265" s="654">
        <v>8.8000001907348633</v>
      </c>
      <c r="K1265" s="433">
        <f t="shared" si="98"/>
        <v>0</v>
      </c>
      <c r="L1265" s="433">
        <f t="shared" si="99"/>
        <v>8.8000001907348633</v>
      </c>
      <c r="M1265" s="433">
        <f t="shared" si="100"/>
        <v>0</v>
      </c>
      <c r="N1265" s="672"/>
      <c r="O1265" s="729">
        <f>IF(N1265="",0,N1265*K1265/'9b-Vloeronderhoud'!$F$4)</f>
        <v>0</v>
      </c>
      <c r="P1265" s="672"/>
      <c r="Q1265" s="729" t="e">
        <f>IF(O1265="",0,P1265*L1265/'9b-Vloeronderhoud'!$F$6)</f>
        <v>#DIV/0!</v>
      </c>
      <c r="R1265" s="449">
        <v>1</v>
      </c>
      <c r="S1265" s="672">
        <v>190</v>
      </c>
      <c r="T1265" s="161" t="e">
        <f t="shared" si="101"/>
        <v>#DIV/0!</v>
      </c>
      <c r="U1265" s="162">
        <f>IF(S1265="nio",0,IF(S1265&gt;0,VLOOKUP(G1265,'3-Productie normen'!A:K,VLOOKUP(S1265,'3-Productie normen'!L:N,3,FALSE),FALSE)))</f>
        <v>0</v>
      </c>
      <c r="V1265" s="162">
        <f>VLOOKUP(G1265,'3-Productie normen'!A:K,10,FALSE)</f>
        <v>1859.5880019121171</v>
      </c>
      <c r="W1265" s="163">
        <f>VLOOKUP(G1265,'3-Productie normen'!A:K,11,FALSE)</f>
        <v>0</v>
      </c>
      <c r="X1265" s="163"/>
      <c r="Z1265" s="129">
        <f t="shared" si="102"/>
        <v>1672.000036239624</v>
      </c>
    </row>
    <row r="1266" spans="1:26" ht="14.1" customHeight="1">
      <c r="A1266" s="144">
        <v>1304</v>
      </c>
      <c r="B1266" s="646" t="s">
        <v>236</v>
      </c>
      <c r="C1266" s="646" t="s">
        <v>514</v>
      </c>
      <c r="D1266" s="647" t="s">
        <v>98</v>
      </c>
      <c r="E1266" s="719" t="s">
        <v>314</v>
      </c>
      <c r="F1266" s="646" t="s">
        <v>285</v>
      </c>
      <c r="G1266" s="645" t="s">
        <v>285</v>
      </c>
      <c r="H1266" s="649" t="s">
        <v>100</v>
      </c>
      <c r="I1266" s="582" t="str">
        <f>VLOOKUP(H1266,'9a-Typen vloeren'!$A$10:$B$40,2,FALSE)</f>
        <v>Sprayen/ conserveren</v>
      </c>
      <c r="J1266" s="654">
        <v>61.75</v>
      </c>
      <c r="K1266" s="433">
        <f t="shared" si="98"/>
        <v>61.75</v>
      </c>
      <c r="L1266" s="433">
        <f t="shared" si="99"/>
        <v>0</v>
      </c>
      <c r="M1266" s="433">
        <f t="shared" si="100"/>
        <v>0</v>
      </c>
      <c r="N1266" s="672"/>
      <c r="O1266" s="729">
        <f>IF(N1266="",0,N1266*K1266/'9b-Vloeronderhoud'!$F$4)</f>
        <v>0</v>
      </c>
      <c r="P1266" s="672"/>
      <c r="Q1266" s="729" t="e">
        <f>IF(O1266="",0,P1266*L1266/'9b-Vloeronderhoud'!$F$6)</f>
        <v>#DIV/0!</v>
      </c>
      <c r="R1266" s="449">
        <v>1</v>
      </c>
      <c r="S1266" s="672">
        <v>190</v>
      </c>
      <c r="T1266" s="161" t="e">
        <f t="shared" si="101"/>
        <v>#DIV/0!</v>
      </c>
      <c r="U1266" s="162">
        <f>IF(S1266="nio",0,IF(S1266&gt;0,VLOOKUP(G1266,'3-Productie normen'!A:K,VLOOKUP(S1266,'3-Productie normen'!L:N,3,FALSE),FALSE)))</f>
        <v>0</v>
      </c>
      <c r="V1266" s="162">
        <f>VLOOKUP(G1266,'3-Productie normen'!A:K,10,FALSE)</f>
        <v>3305.8200070953367</v>
      </c>
      <c r="W1266" s="163">
        <f>VLOOKUP(G1266,'3-Productie normen'!A:K,11,FALSE)</f>
        <v>0</v>
      </c>
      <c r="X1266" s="163"/>
      <c r="Z1266" s="129">
        <f t="shared" si="102"/>
        <v>11732.5</v>
      </c>
    </row>
    <row r="1267" spans="1:26" ht="14.1" customHeight="1">
      <c r="A1267" s="144">
        <v>1305</v>
      </c>
      <c r="B1267" s="646" t="s">
        <v>236</v>
      </c>
      <c r="C1267" s="646" t="s">
        <v>514</v>
      </c>
      <c r="D1267" s="647">
        <v>1</v>
      </c>
      <c r="E1267" s="719" t="s">
        <v>351</v>
      </c>
      <c r="F1267" s="646" t="s">
        <v>853</v>
      </c>
      <c r="G1267" s="650" t="s">
        <v>286</v>
      </c>
      <c r="H1267" s="649" t="s">
        <v>100</v>
      </c>
      <c r="I1267" s="582" t="str">
        <f>VLOOKUP(H1267,'9a-Typen vloeren'!$A$10:$B$40,2,FALSE)</f>
        <v>Sprayen/ conserveren</v>
      </c>
      <c r="J1267" s="654">
        <v>76.150001525878906</v>
      </c>
      <c r="K1267" s="433">
        <f t="shared" si="98"/>
        <v>76.150001525878906</v>
      </c>
      <c r="L1267" s="433">
        <f t="shared" si="99"/>
        <v>0</v>
      </c>
      <c r="M1267" s="433">
        <f t="shared" si="100"/>
        <v>0</v>
      </c>
      <c r="N1267" s="672">
        <v>2</v>
      </c>
      <c r="O1267" s="729" t="e">
        <f>IF(N1267="",0,N1267*K1267/'9b-Vloeronderhoud'!$F$4)</f>
        <v>#DIV/0!</v>
      </c>
      <c r="P1267" s="672"/>
      <c r="Q1267" s="729" t="e">
        <f>IF(O1267="",0,P1267*L1267/'9b-Vloeronderhoud'!$F$6)</f>
        <v>#DIV/0!</v>
      </c>
      <c r="R1267" s="449">
        <v>1</v>
      </c>
      <c r="S1267" s="672">
        <v>120</v>
      </c>
      <c r="T1267" s="161" t="e">
        <f t="shared" si="101"/>
        <v>#DIV/0!</v>
      </c>
      <c r="U1267" s="162">
        <f>IF(S1267="nio",0,IF(S1267&gt;0,VLOOKUP(G1267,'3-Productie normen'!A:K,VLOOKUP(S1267,'3-Productie normen'!L:N,3,FALSE),FALSE)))</f>
        <v>0</v>
      </c>
      <c r="V1267" s="162">
        <f>VLOOKUP(G1267,'3-Productie normen'!A:K,10,FALSE)</f>
        <v>6152.9500017547598</v>
      </c>
      <c r="W1267" s="163">
        <f>VLOOKUP(G1267,'3-Productie normen'!A:K,11,FALSE)</f>
        <v>0</v>
      </c>
      <c r="X1267" s="163"/>
      <c r="Z1267" s="129">
        <f t="shared" si="102"/>
        <v>9138.0001831054688</v>
      </c>
    </row>
    <row r="1268" spans="1:26" ht="14.1" customHeight="1">
      <c r="A1268" s="144">
        <v>1306</v>
      </c>
      <c r="B1268" s="646" t="s">
        <v>236</v>
      </c>
      <c r="C1268" s="646" t="s">
        <v>514</v>
      </c>
      <c r="D1268" s="647">
        <v>1</v>
      </c>
      <c r="E1268" s="719" t="s">
        <v>352</v>
      </c>
      <c r="F1268" s="646" t="s">
        <v>221</v>
      </c>
      <c r="G1268" s="648" t="s">
        <v>221</v>
      </c>
      <c r="H1268" s="649" t="s">
        <v>100</v>
      </c>
      <c r="I1268" s="582" t="str">
        <f>VLOOKUP(H1268,'9a-Typen vloeren'!$A$10:$B$40,2,FALSE)</f>
        <v>Sprayen/ conserveren</v>
      </c>
      <c r="J1268" s="654">
        <v>58.200000762939453</v>
      </c>
      <c r="K1268" s="433">
        <f t="shared" si="98"/>
        <v>58.200000762939453</v>
      </c>
      <c r="L1268" s="433">
        <f t="shared" si="99"/>
        <v>0</v>
      </c>
      <c r="M1268" s="433">
        <f t="shared" si="100"/>
        <v>0</v>
      </c>
      <c r="N1268" s="672"/>
      <c r="O1268" s="729">
        <f>IF(N1268="",0,N1268*K1268/'9b-Vloeronderhoud'!$F$4)</f>
        <v>0</v>
      </c>
      <c r="P1268" s="672"/>
      <c r="Q1268" s="729" t="e">
        <f>IF(O1268="",0,P1268*L1268/'9b-Vloeronderhoud'!$F$6)</f>
        <v>#DIV/0!</v>
      </c>
      <c r="R1268" s="449">
        <v>1</v>
      </c>
      <c r="S1268" s="672">
        <v>80</v>
      </c>
      <c r="T1268" s="161" t="e">
        <f t="shared" si="101"/>
        <v>#DIV/0!</v>
      </c>
      <c r="U1268" s="162">
        <f>IF(S1268="nio",0,IF(S1268&gt;0,VLOOKUP(G1268,'3-Productie normen'!A:K,VLOOKUP(S1268,'3-Productie normen'!L:N,3,FALSE),FALSE)))</f>
        <v>0</v>
      </c>
      <c r="V1268" s="162">
        <f>VLOOKUP(G1268,'3-Productie normen'!A:K,10,FALSE)</f>
        <v>16013.110036668773</v>
      </c>
      <c r="W1268" s="163">
        <f>VLOOKUP(G1268,'3-Productie normen'!A:K,11,FALSE)</f>
        <v>0</v>
      </c>
      <c r="X1268" s="163"/>
      <c r="Z1268" s="129">
        <f t="shared" si="102"/>
        <v>4656.0000610351563</v>
      </c>
    </row>
    <row r="1269" spans="1:26" ht="14.1" customHeight="1">
      <c r="A1269" s="144">
        <v>1307</v>
      </c>
      <c r="B1269" s="646" t="s">
        <v>236</v>
      </c>
      <c r="C1269" s="646" t="s">
        <v>514</v>
      </c>
      <c r="D1269" s="647">
        <v>1</v>
      </c>
      <c r="E1269" s="719" t="s">
        <v>354</v>
      </c>
      <c r="F1269" s="646" t="s">
        <v>365</v>
      </c>
      <c r="G1269" s="658" t="s">
        <v>189</v>
      </c>
      <c r="H1269" s="662" t="s">
        <v>100</v>
      </c>
      <c r="I1269" s="582" t="str">
        <f>VLOOKUP(H1269,'9a-Typen vloeren'!$A$10:$B$40,2,FALSE)</f>
        <v>Sprayen/ conserveren</v>
      </c>
      <c r="J1269" s="663">
        <v>13.850000381469727</v>
      </c>
      <c r="K1269" s="433">
        <f t="shared" si="98"/>
        <v>13.850000381469727</v>
      </c>
      <c r="L1269" s="433">
        <f t="shared" si="99"/>
        <v>0</v>
      </c>
      <c r="M1269" s="433">
        <f t="shared" si="100"/>
        <v>0</v>
      </c>
      <c r="N1269" s="672"/>
      <c r="O1269" s="729">
        <f>IF(N1269="",0,N1269*K1269/'9b-Vloeronderhoud'!$F$4)</f>
        <v>0</v>
      </c>
      <c r="P1269" s="672"/>
      <c r="Q1269" s="729" t="e">
        <f>IF(O1269="",0,P1269*L1269/'9b-Vloeronderhoud'!$F$6)</f>
        <v>#DIV/0!</v>
      </c>
      <c r="R1269" s="449">
        <v>1</v>
      </c>
      <c r="S1269" s="672">
        <v>40</v>
      </c>
      <c r="T1269" s="161" t="e">
        <f t="shared" si="101"/>
        <v>#DIV/0!</v>
      </c>
      <c r="U1269" s="162">
        <f>IF(S1269="nio",0,IF(S1269&gt;0,VLOOKUP(G1269,'3-Productie normen'!A:K,VLOOKUP(S1269,'3-Productie normen'!L:N,3,FALSE),FALSE)))</f>
        <v>0</v>
      </c>
      <c r="V1269" s="162">
        <f>VLOOKUP(G1269,'3-Productie normen'!A:K,10,FALSE)</f>
        <v>1494.1700078582762</v>
      </c>
      <c r="W1269" s="163">
        <f>VLOOKUP(G1269,'3-Productie normen'!A:K,11,FALSE)</f>
        <v>0</v>
      </c>
      <c r="X1269" s="163"/>
      <c r="Z1269" s="129">
        <f t="shared" si="102"/>
        <v>554.00001525878906</v>
      </c>
    </row>
    <row r="1270" spans="1:26" ht="14.1" customHeight="1">
      <c r="A1270" s="144">
        <v>1308</v>
      </c>
      <c r="B1270" s="646" t="s">
        <v>236</v>
      </c>
      <c r="C1270" s="646" t="s">
        <v>514</v>
      </c>
      <c r="D1270" s="647">
        <v>1</v>
      </c>
      <c r="E1270" s="719" t="s">
        <v>355</v>
      </c>
      <c r="F1270" s="646" t="s">
        <v>302</v>
      </c>
      <c r="G1270" s="650" t="s">
        <v>18</v>
      </c>
      <c r="H1270" s="649" t="s">
        <v>335</v>
      </c>
      <c r="I1270" s="582" t="str">
        <f>VLOOKUP(H1270,'9a-Typen vloeren'!$A$10:$B$40,2,FALSE)</f>
        <v>Schrobben</v>
      </c>
      <c r="J1270" s="654">
        <v>5.6999998092651367</v>
      </c>
      <c r="K1270" s="433">
        <f t="shared" si="98"/>
        <v>0</v>
      </c>
      <c r="L1270" s="433">
        <f t="shared" si="99"/>
        <v>5.6999998092651367</v>
      </c>
      <c r="M1270" s="433">
        <f t="shared" si="100"/>
        <v>0</v>
      </c>
      <c r="N1270" s="672"/>
      <c r="O1270" s="729">
        <f>IF(N1270="",0,N1270*K1270/'9b-Vloeronderhoud'!$F$4)</f>
        <v>0</v>
      </c>
      <c r="P1270" s="672"/>
      <c r="Q1270" s="729" t="e">
        <f>IF(O1270="",0,P1270*L1270/'9b-Vloeronderhoud'!$F$6)</f>
        <v>#DIV/0!</v>
      </c>
      <c r="R1270" s="449">
        <v>1</v>
      </c>
      <c r="S1270" s="672">
        <v>190</v>
      </c>
      <c r="T1270" s="161" t="e">
        <f t="shared" si="101"/>
        <v>#DIV/0!</v>
      </c>
      <c r="U1270" s="162">
        <f>IF(S1270="nio",0,IF(S1270&gt;0,VLOOKUP(G1270,'3-Productie normen'!A:K,VLOOKUP(S1270,'3-Productie normen'!L:N,3,FALSE),FALSE)))</f>
        <v>0</v>
      </c>
      <c r="V1270" s="162">
        <f>VLOOKUP(G1270,'3-Productie normen'!A:K,10,FALSE)</f>
        <v>1859.5880019121171</v>
      </c>
      <c r="W1270" s="163">
        <f>VLOOKUP(G1270,'3-Productie normen'!A:K,11,FALSE)</f>
        <v>0</v>
      </c>
      <c r="X1270" s="163"/>
      <c r="Z1270" s="129">
        <f t="shared" si="102"/>
        <v>1082.999963760376</v>
      </c>
    </row>
    <row r="1271" spans="1:26" ht="14.1" customHeight="1">
      <c r="A1271" s="144">
        <v>1309</v>
      </c>
      <c r="B1271" s="646" t="s">
        <v>236</v>
      </c>
      <c r="C1271" s="646" t="s">
        <v>514</v>
      </c>
      <c r="D1271" s="647">
        <v>1</v>
      </c>
      <c r="E1271" s="719" t="s">
        <v>356</v>
      </c>
      <c r="F1271" s="646" t="s">
        <v>302</v>
      </c>
      <c r="G1271" s="650" t="s">
        <v>18</v>
      </c>
      <c r="H1271" s="649" t="s">
        <v>335</v>
      </c>
      <c r="I1271" s="582" t="str">
        <f>VLOOKUP(H1271,'9a-Typen vloeren'!$A$10:$B$40,2,FALSE)</f>
        <v>Schrobben</v>
      </c>
      <c r="J1271" s="654">
        <v>3.5999999046325684</v>
      </c>
      <c r="K1271" s="433">
        <f t="shared" ref="K1271:K1361" si="103">IF(G1271="niet in onderhoud",0,IF(I1271="sprayen/ conserveren",J1271,0))</f>
        <v>0</v>
      </c>
      <c r="L1271" s="433">
        <f t="shared" ref="L1271:L1361" si="104">IF(G1271="niet in onderhoud",0,IF(I1271="schrobben",J1271,0))</f>
        <v>3.5999999046325684</v>
      </c>
      <c r="M1271" s="433">
        <f t="shared" ref="M1271:M1361" si="105">IF(G1271="niet in onderhoud",0,IF(I1271="Sproei/extraheren",J1271,0))</f>
        <v>0</v>
      </c>
      <c r="N1271" s="672"/>
      <c r="O1271" s="729">
        <f>IF(N1271="",0,N1271*K1271/'9b-Vloeronderhoud'!$F$4)</f>
        <v>0</v>
      </c>
      <c r="P1271" s="672"/>
      <c r="Q1271" s="729" t="e">
        <f>IF(O1271="",0,P1271*L1271/'9b-Vloeronderhoud'!$F$6)</f>
        <v>#DIV/0!</v>
      </c>
      <c r="R1271" s="449">
        <v>1</v>
      </c>
      <c r="S1271" s="672">
        <v>190</v>
      </c>
      <c r="T1271" s="161" t="e">
        <f t="shared" si="101"/>
        <v>#DIV/0!</v>
      </c>
      <c r="U1271" s="162">
        <f>IF(S1271="nio",0,IF(S1271&gt;0,VLOOKUP(G1271,'3-Productie normen'!A:K,VLOOKUP(S1271,'3-Productie normen'!L:N,3,FALSE),FALSE)))</f>
        <v>0</v>
      </c>
      <c r="V1271" s="162">
        <f>VLOOKUP(G1271,'3-Productie normen'!A:K,10,FALSE)</f>
        <v>1859.5880019121171</v>
      </c>
      <c r="W1271" s="163">
        <f>VLOOKUP(G1271,'3-Productie normen'!A:K,11,FALSE)</f>
        <v>0</v>
      </c>
      <c r="X1271" s="163"/>
      <c r="Z1271" s="129">
        <f t="shared" si="102"/>
        <v>683.99998188018799</v>
      </c>
    </row>
    <row r="1272" spans="1:26" ht="14.1" customHeight="1">
      <c r="A1272" s="144">
        <v>1310</v>
      </c>
      <c r="B1272" s="646" t="s">
        <v>236</v>
      </c>
      <c r="C1272" s="646" t="s">
        <v>514</v>
      </c>
      <c r="D1272" s="647">
        <v>1</v>
      </c>
      <c r="E1272" s="719" t="s">
        <v>357</v>
      </c>
      <c r="F1272" s="646" t="s">
        <v>221</v>
      </c>
      <c r="G1272" s="648" t="s">
        <v>221</v>
      </c>
      <c r="H1272" s="649" t="s">
        <v>100</v>
      </c>
      <c r="I1272" s="582" t="str">
        <f>VLOOKUP(H1272,'9a-Typen vloeren'!$A$10:$B$40,2,FALSE)</f>
        <v>Sprayen/ conserveren</v>
      </c>
      <c r="J1272" s="654">
        <v>61.75</v>
      </c>
      <c r="K1272" s="433">
        <f t="shared" si="103"/>
        <v>61.75</v>
      </c>
      <c r="L1272" s="433">
        <f t="shared" si="104"/>
        <v>0</v>
      </c>
      <c r="M1272" s="433">
        <f t="shared" si="105"/>
        <v>0</v>
      </c>
      <c r="N1272" s="672"/>
      <c r="O1272" s="729">
        <f>IF(N1272="",0,N1272*K1272/'9b-Vloeronderhoud'!$F$4)</f>
        <v>0</v>
      </c>
      <c r="P1272" s="672"/>
      <c r="Q1272" s="729" t="e">
        <f>IF(O1272="",0,P1272*L1272/'9b-Vloeronderhoud'!$F$6)</f>
        <v>#DIV/0!</v>
      </c>
      <c r="R1272" s="449">
        <v>1</v>
      </c>
      <c r="S1272" s="672">
        <v>80</v>
      </c>
      <c r="T1272" s="161" t="e">
        <f t="shared" si="101"/>
        <v>#DIV/0!</v>
      </c>
      <c r="U1272" s="162">
        <f>IF(S1272="nio",0,IF(S1272&gt;0,VLOOKUP(G1272,'3-Productie normen'!A:K,VLOOKUP(S1272,'3-Productie normen'!L:N,3,FALSE),FALSE)))</f>
        <v>0</v>
      </c>
      <c r="V1272" s="162">
        <f>VLOOKUP(G1272,'3-Productie normen'!A:K,10,FALSE)</f>
        <v>16013.110036668773</v>
      </c>
      <c r="W1272" s="163">
        <f>VLOOKUP(G1272,'3-Productie normen'!A:K,11,FALSE)</f>
        <v>0</v>
      </c>
      <c r="X1272" s="163"/>
      <c r="Z1272" s="129">
        <f t="shared" si="102"/>
        <v>4940</v>
      </c>
    </row>
    <row r="1273" spans="1:26" ht="14.1" customHeight="1">
      <c r="A1273" s="144">
        <v>1311</v>
      </c>
      <c r="B1273" s="646" t="s">
        <v>236</v>
      </c>
      <c r="C1273" s="646" t="s">
        <v>514</v>
      </c>
      <c r="D1273" s="647">
        <v>1</v>
      </c>
      <c r="E1273" s="719" t="s">
        <v>358</v>
      </c>
      <c r="F1273" s="646" t="s">
        <v>567</v>
      </c>
      <c r="G1273" s="648" t="s">
        <v>221</v>
      </c>
      <c r="H1273" s="649" t="s">
        <v>100</v>
      </c>
      <c r="I1273" s="582" t="str">
        <f>VLOOKUP(H1273,'9a-Typen vloeren'!$A$10:$B$40,2,FALSE)</f>
        <v>Sprayen/ conserveren</v>
      </c>
      <c r="J1273" s="654">
        <v>97.720001220703125</v>
      </c>
      <c r="K1273" s="433">
        <f t="shared" si="103"/>
        <v>97.720001220703125</v>
      </c>
      <c r="L1273" s="433">
        <f t="shared" si="104"/>
        <v>0</v>
      </c>
      <c r="M1273" s="433">
        <f t="shared" si="105"/>
        <v>0</v>
      </c>
      <c r="N1273" s="672"/>
      <c r="O1273" s="729">
        <f>IF(N1273="",0,N1273*K1273/'9b-Vloeronderhoud'!$F$4)</f>
        <v>0</v>
      </c>
      <c r="P1273" s="672"/>
      <c r="Q1273" s="729" t="e">
        <f>IF(O1273="",0,P1273*L1273/'9b-Vloeronderhoud'!$F$6)</f>
        <v>#DIV/0!</v>
      </c>
      <c r="R1273" s="449">
        <v>1</v>
      </c>
      <c r="S1273" s="672">
        <v>80</v>
      </c>
      <c r="T1273" s="161" t="e">
        <f t="shared" si="101"/>
        <v>#DIV/0!</v>
      </c>
      <c r="U1273" s="162">
        <f>IF(S1273="nio",0,IF(S1273&gt;0,VLOOKUP(G1273,'3-Productie normen'!A:K,VLOOKUP(S1273,'3-Productie normen'!L:N,3,FALSE),FALSE)))</f>
        <v>0</v>
      </c>
      <c r="V1273" s="162">
        <f>VLOOKUP(G1273,'3-Productie normen'!A:K,10,FALSE)</f>
        <v>16013.110036668773</v>
      </c>
      <c r="W1273" s="163">
        <f>VLOOKUP(G1273,'3-Productie normen'!A:K,11,FALSE)</f>
        <v>0</v>
      </c>
      <c r="X1273" s="163"/>
      <c r="Z1273" s="129">
        <f t="shared" si="102"/>
        <v>7817.60009765625</v>
      </c>
    </row>
    <row r="1274" spans="1:26" ht="14.1" customHeight="1">
      <c r="A1274" s="144">
        <v>1312</v>
      </c>
      <c r="B1274" s="646" t="s">
        <v>236</v>
      </c>
      <c r="C1274" s="646" t="s">
        <v>514</v>
      </c>
      <c r="D1274" s="647">
        <v>1</v>
      </c>
      <c r="E1274" s="719" t="s">
        <v>359</v>
      </c>
      <c r="F1274" s="646" t="s">
        <v>365</v>
      </c>
      <c r="G1274" s="658" t="s">
        <v>189</v>
      </c>
      <c r="H1274" s="662" t="s">
        <v>100</v>
      </c>
      <c r="I1274" s="582" t="str">
        <f>VLOOKUP(H1274,'9a-Typen vloeren'!$A$10:$B$40,2,FALSE)</f>
        <v>Sprayen/ conserveren</v>
      </c>
      <c r="J1274" s="663">
        <v>13.800000190734863</v>
      </c>
      <c r="K1274" s="433">
        <f t="shared" si="103"/>
        <v>13.800000190734863</v>
      </c>
      <c r="L1274" s="433">
        <f t="shared" si="104"/>
        <v>0</v>
      </c>
      <c r="M1274" s="433">
        <f t="shared" si="105"/>
        <v>0</v>
      </c>
      <c r="N1274" s="672"/>
      <c r="O1274" s="729">
        <f>IF(N1274="",0,N1274*K1274/'9b-Vloeronderhoud'!$F$4)</f>
        <v>0</v>
      </c>
      <c r="P1274" s="672"/>
      <c r="Q1274" s="729" t="e">
        <f>IF(O1274="",0,P1274*L1274/'9b-Vloeronderhoud'!$F$6)</f>
        <v>#DIV/0!</v>
      </c>
      <c r="R1274" s="449">
        <v>1</v>
      </c>
      <c r="S1274" s="675">
        <v>40</v>
      </c>
      <c r="T1274" s="161" t="e">
        <f t="shared" si="101"/>
        <v>#DIV/0!</v>
      </c>
      <c r="U1274" s="162">
        <f>IF(S1274="nio",0,IF(S1274&gt;0,VLOOKUP(G1274,'3-Productie normen'!A:K,VLOOKUP(S1274,'3-Productie normen'!L:N,3,FALSE),FALSE)))</f>
        <v>0</v>
      </c>
      <c r="V1274" s="162">
        <f>VLOOKUP(G1274,'3-Productie normen'!A:K,10,FALSE)</f>
        <v>1494.1700078582762</v>
      </c>
      <c r="W1274" s="163">
        <f>VLOOKUP(G1274,'3-Productie normen'!A:K,11,FALSE)</f>
        <v>0</v>
      </c>
      <c r="X1274" s="163"/>
      <c r="Z1274" s="129">
        <f t="shared" si="102"/>
        <v>552.00000762939453</v>
      </c>
    </row>
    <row r="1275" spans="1:26" ht="14.1" customHeight="1">
      <c r="A1275" s="144">
        <v>1313</v>
      </c>
      <c r="B1275" s="646" t="s">
        <v>236</v>
      </c>
      <c r="C1275" s="646" t="s">
        <v>514</v>
      </c>
      <c r="D1275" s="647">
        <v>1</v>
      </c>
      <c r="E1275" s="719" t="s">
        <v>361</v>
      </c>
      <c r="F1275" s="646" t="s">
        <v>302</v>
      </c>
      <c r="G1275" s="650" t="s">
        <v>18</v>
      </c>
      <c r="H1275" s="649" t="s">
        <v>335</v>
      </c>
      <c r="I1275" s="582" t="str">
        <f>VLOOKUP(H1275,'9a-Typen vloeren'!$A$10:$B$40,2,FALSE)</f>
        <v>Schrobben</v>
      </c>
      <c r="J1275" s="654">
        <v>8.8000001907348633</v>
      </c>
      <c r="K1275" s="433">
        <f t="shared" si="103"/>
        <v>0</v>
      </c>
      <c r="L1275" s="433">
        <f t="shared" si="104"/>
        <v>8.8000001907348633</v>
      </c>
      <c r="M1275" s="433">
        <f t="shared" si="105"/>
        <v>0</v>
      </c>
      <c r="N1275" s="672"/>
      <c r="O1275" s="729">
        <f>IF(N1275="",0,N1275*K1275/'9b-Vloeronderhoud'!$F$4)</f>
        <v>0</v>
      </c>
      <c r="P1275" s="672"/>
      <c r="Q1275" s="729" t="e">
        <f>IF(O1275="",0,P1275*L1275/'9b-Vloeronderhoud'!$F$6)</f>
        <v>#DIV/0!</v>
      </c>
      <c r="R1275" s="449">
        <v>1</v>
      </c>
      <c r="S1275" s="672">
        <v>190</v>
      </c>
      <c r="T1275" s="161" t="e">
        <f t="shared" si="101"/>
        <v>#DIV/0!</v>
      </c>
      <c r="U1275" s="162">
        <f>IF(S1275="nio",0,IF(S1275&gt;0,VLOOKUP(G1275,'3-Productie normen'!A:K,VLOOKUP(S1275,'3-Productie normen'!L:N,3,FALSE),FALSE)))</f>
        <v>0</v>
      </c>
      <c r="V1275" s="162">
        <f>VLOOKUP(G1275,'3-Productie normen'!A:K,10,FALSE)</f>
        <v>1859.5880019121171</v>
      </c>
      <c r="W1275" s="163">
        <f>VLOOKUP(G1275,'3-Productie normen'!A:K,11,FALSE)</f>
        <v>0</v>
      </c>
      <c r="X1275" s="163"/>
      <c r="Z1275" s="129">
        <f t="shared" si="102"/>
        <v>1672.000036239624</v>
      </c>
    </row>
    <row r="1276" spans="1:26" ht="14.1" customHeight="1">
      <c r="A1276" s="144">
        <v>1314</v>
      </c>
      <c r="B1276" s="646" t="s">
        <v>236</v>
      </c>
      <c r="C1276" s="646" t="s">
        <v>514</v>
      </c>
      <c r="D1276" s="647">
        <v>1</v>
      </c>
      <c r="E1276" s="719" t="s">
        <v>363</v>
      </c>
      <c r="F1276" s="646" t="s">
        <v>221</v>
      </c>
      <c r="G1276" s="648" t="s">
        <v>221</v>
      </c>
      <c r="H1276" s="649" t="s">
        <v>100</v>
      </c>
      <c r="I1276" s="582" t="str">
        <f>VLOOKUP(H1276,'9a-Typen vloeren'!$A$10:$B$40,2,FALSE)</f>
        <v>Sprayen/ conserveren</v>
      </c>
      <c r="J1276" s="654">
        <v>56.200000762939453</v>
      </c>
      <c r="K1276" s="433">
        <f t="shared" si="103"/>
        <v>56.200000762939453</v>
      </c>
      <c r="L1276" s="433">
        <f t="shared" si="104"/>
        <v>0</v>
      </c>
      <c r="M1276" s="433">
        <f t="shared" si="105"/>
        <v>0</v>
      </c>
      <c r="N1276" s="672"/>
      <c r="O1276" s="729">
        <f>IF(N1276="",0,N1276*K1276/'9b-Vloeronderhoud'!$F$4)</f>
        <v>0</v>
      </c>
      <c r="P1276" s="672"/>
      <c r="Q1276" s="729" t="e">
        <f>IF(O1276="",0,P1276*L1276/'9b-Vloeronderhoud'!$F$6)</f>
        <v>#DIV/0!</v>
      </c>
      <c r="R1276" s="449">
        <v>1</v>
      </c>
      <c r="S1276" s="688" t="s">
        <v>179</v>
      </c>
      <c r="T1276" s="161">
        <f t="shared" si="101"/>
        <v>0</v>
      </c>
      <c r="U1276" s="162">
        <f>IF(S1276="nio",0,IF(S1276&gt;0,VLOOKUP(G1276,'3-Productie normen'!A:K,VLOOKUP(S1276,'3-Productie normen'!L:N,3,FALSE),FALSE)))</f>
        <v>0</v>
      </c>
      <c r="V1276" s="162">
        <f>VLOOKUP(G1276,'3-Productie normen'!A:K,10,FALSE)</f>
        <v>16013.110036668773</v>
      </c>
      <c r="W1276" s="163">
        <f>VLOOKUP(G1276,'3-Productie normen'!A:K,11,FALSE)</f>
        <v>0</v>
      </c>
      <c r="X1276" s="163"/>
      <c r="Z1276" s="129">
        <f t="shared" si="102"/>
        <v>0</v>
      </c>
    </row>
    <row r="1277" spans="1:26" ht="14.1" customHeight="1">
      <c r="A1277" s="144">
        <v>1315</v>
      </c>
      <c r="B1277" s="646" t="s">
        <v>236</v>
      </c>
      <c r="C1277" s="646" t="s">
        <v>514</v>
      </c>
      <c r="D1277" s="647">
        <v>1</v>
      </c>
      <c r="E1277" s="719" t="s">
        <v>364</v>
      </c>
      <c r="F1277" s="646" t="s">
        <v>365</v>
      </c>
      <c r="G1277" s="658" t="s">
        <v>189</v>
      </c>
      <c r="H1277" s="662" t="s">
        <v>100</v>
      </c>
      <c r="I1277" s="582" t="str">
        <f>VLOOKUP(H1277,'9a-Typen vloeren'!$A$10:$B$40,2,FALSE)</f>
        <v>Sprayen/ conserveren</v>
      </c>
      <c r="J1277" s="663">
        <v>12.5</v>
      </c>
      <c r="K1277" s="433">
        <f t="shared" si="103"/>
        <v>12.5</v>
      </c>
      <c r="L1277" s="433">
        <f t="shared" si="104"/>
        <v>0</v>
      </c>
      <c r="M1277" s="433">
        <f t="shared" si="105"/>
        <v>0</v>
      </c>
      <c r="N1277" s="672"/>
      <c r="O1277" s="729">
        <f>IF(N1277="",0,N1277*K1277/'9b-Vloeronderhoud'!$F$4)</f>
        <v>0</v>
      </c>
      <c r="P1277" s="672"/>
      <c r="Q1277" s="729" t="e">
        <f>IF(O1277="",0,P1277*L1277/'9b-Vloeronderhoud'!$F$6)</f>
        <v>#DIV/0!</v>
      </c>
      <c r="R1277" s="449">
        <v>1</v>
      </c>
      <c r="S1277" s="675">
        <v>40</v>
      </c>
      <c r="T1277" s="161" t="e">
        <f t="shared" si="101"/>
        <v>#DIV/0!</v>
      </c>
      <c r="U1277" s="162">
        <f>IF(S1277="nio",0,IF(S1277&gt;0,VLOOKUP(G1277,'3-Productie normen'!A:K,VLOOKUP(S1277,'3-Productie normen'!L:N,3,FALSE),FALSE)))</f>
        <v>0</v>
      </c>
      <c r="V1277" s="162">
        <f>VLOOKUP(G1277,'3-Productie normen'!A:K,10,FALSE)</f>
        <v>1494.1700078582762</v>
      </c>
      <c r="W1277" s="163">
        <f>VLOOKUP(G1277,'3-Productie normen'!A:K,11,FALSE)</f>
        <v>0</v>
      </c>
      <c r="X1277" s="163"/>
      <c r="Z1277" s="129">
        <f t="shared" si="102"/>
        <v>500</v>
      </c>
    </row>
    <row r="1278" spans="1:26" ht="14.1" customHeight="1">
      <c r="A1278" s="144">
        <v>1316</v>
      </c>
      <c r="B1278" s="646" t="s">
        <v>236</v>
      </c>
      <c r="C1278" s="646" t="s">
        <v>514</v>
      </c>
      <c r="D1278" s="647">
        <v>1</v>
      </c>
      <c r="E1278" s="719" t="s">
        <v>366</v>
      </c>
      <c r="F1278" s="646" t="s">
        <v>282</v>
      </c>
      <c r="G1278" s="645" t="s">
        <v>861</v>
      </c>
      <c r="H1278" s="649" t="s">
        <v>100</v>
      </c>
      <c r="I1278" s="582" t="str">
        <f>VLOOKUP(H1278,'9a-Typen vloeren'!$A$10:$B$40,2,FALSE)</f>
        <v>Sprayen/ conserveren</v>
      </c>
      <c r="J1278" s="654">
        <v>5.3000001907348633</v>
      </c>
      <c r="K1278" s="433">
        <f t="shared" si="103"/>
        <v>5.3000001907348633</v>
      </c>
      <c r="L1278" s="433">
        <f t="shared" si="104"/>
        <v>0</v>
      </c>
      <c r="M1278" s="433">
        <f t="shared" si="105"/>
        <v>0</v>
      </c>
      <c r="N1278" s="672"/>
      <c r="O1278" s="729">
        <f>IF(N1278="",0,N1278*K1278/'9b-Vloeronderhoud'!$F$4)</f>
        <v>0</v>
      </c>
      <c r="P1278" s="672"/>
      <c r="Q1278" s="729" t="e">
        <f>IF(O1278="",0,P1278*L1278/'9b-Vloeronderhoud'!$F$6)</f>
        <v>#DIV/0!</v>
      </c>
      <c r="R1278" s="449">
        <v>1</v>
      </c>
      <c r="S1278" s="672" t="s">
        <v>179</v>
      </c>
      <c r="T1278" s="161">
        <f t="shared" si="101"/>
        <v>0</v>
      </c>
      <c r="U1278" s="162">
        <f>IF(S1278="nio",0,IF(S1278&gt;0,VLOOKUP(G1278,'3-Productie normen'!A:K,VLOOKUP(S1278,'3-Productie normen'!L:N,3,FALSE),FALSE)))</f>
        <v>0</v>
      </c>
      <c r="V1278" s="162">
        <f>VLOOKUP(G1278,'3-Productie normen'!A:K,10,FALSE)</f>
        <v>137.96000057220459</v>
      </c>
      <c r="W1278" s="163">
        <f>VLOOKUP(G1278,'3-Productie normen'!A:K,11,FALSE)</f>
        <v>0</v>
      </c>
      <c r="X1278" s="163"/>
      <c r="Z1278" s="129">
        <f t="shared" si="102"/>
        <v>0</v>
      </c>
    </row>
    <row r="1279" spans="1:26" ht="14.1" customHeight="1">
      <c r="A1279" s="144">
        <v>1317</v>
      </c>
      <c r="B1279" s="646" t="s">
        <v>236</v>
      </c>
      <c r="C1279" s="646" t="s">
        <v>514</v>
      </c>
      <c r="D1279" s="647">
        <v>1</v>
      </c>
      <c r="E1279" s="719" t="s">
        <v>367</v>
      </c>
      <c r="F1279" s="646" t="s">
        <v>221</v>
      </c>
      <c r="G1279" s="648" t="s">
        <v>221</v>
      </c>
      <c r="H1279" s="649" t="s">
        <v>100</v>
      </c>
      <c r="I1279" s="582" t="str">
        <f>VLOOKUP(H1279,'9a-Typen vloeren'!$A$10:$B$40,2,FALSE)</f>
        <v>Sprayen/ conserveren</v>
      </c>
      <c r="J1279" s="654">
        <v>79.5</v>
      </c>
      <c r="K1279" s="433">
        <f t="shared" si="103"/>
        <v>79.5</v>
      </c>
      <c r="L1279" s="433">
        <f t="shared" si="104"/>
        <v>0</v>
      </c>
      <c r="M1279" s="433">
        <f t="shared" si="105"/>
        <v>0</v>
      </c>
      <c r="N1279" s="672"/>
      <c r="O1279" s="729">
        <f>IF(N1279="",0,N1279*K1279/'9b-Vloeronderhoud'!$F$4)</f>
        <v>0</v>
      </c>
      <c r="P1279" s="672"/>
      <c r="Q1279" s="729" t="e">
        <f>IF(O1279="",0,P1279*L1279/'9b-Vloeronderhoud'!$F$6)</f>
        <v>#DIV/0!</v>
      </c>
      <c r="R1279" s="449">
        <v>1</v>
      </c>
      <c r="S1279" s="672">
        <v>80</v>
      </c>
      <c r="T1279" s="161" t="e">
        <f t="shared" si="101"/>
        <v>#DIV/0!</v>
      </c>
      <c r="U1279" s="162">
        <f>IF(S1279="nio",0,IF(S1279&gt;0,VLOOKUP(G1279,'3-Productie normen'!A:K,VLOOKUP(S1279,'3-Productie normen'!L:N,3,FALSE),FALSE)))</f>
        <v>0</v>
      </c>
      <c r="V1279" s="162">
        <f>VLOOKUP(G1279,'3-Productie normen'!A:K,10,FALSE)</f>
        <v>16013.110036668773</v>
      </c>
      <c r="W1279" s="163">
        <f>VLOOKUP(G1279,'3-Productie normen'!A:K,11,FALSE)</f>
        <v>0</v>
      </c>
      <c r="X1279" s="163"/>
      <c r="Z1279" s="129">
        <f t="shared" si="102"/>
        <v>6360</v>
      </c>
    </row>
    <row r="1280" spans="1:26" ht="14.1" customHeight="1">
      <c r="A1280" s="144">
        <v>1318</v>
      </c>
      <c r="B1280" s="646" t="s">
        <v>236</v>
      </c>
      <c r="C1280" s="646" t="s">
        <v>514</v>
      </c>
      <c r="D1280" s="647">
        <v>1</v>
      </c>
      <c r="E1280" s="719" t="s">
        <v>368</v>
      </c>
      <c r="F1280" s="646" t="s">
        <v>302</v>
      </c>
      <c r="G1280" s="650" t="s">
        <v>18</v>
      </c>
      <c r="H1280" s="649" t="s">
        <v>335</v>
      </c>
      <c r="I1280" s="582" t="str">
        <f>VLOOKUP(H1280,'9a-Typen vloeren'!$A$10:$B$40,2,FALSE)</f>
        <v>Schrobben</v>
      </c>
      <c r="J1280" s="654">
        <v>5.3000001907348633</v>
      </c>
      <c r="K1280" s="433">
        <f t="shared" si="103"/>
        <v>0</v>
      </c>
      <c r="L1280" s="433">
        <f t="shared" si="104"/>
        <v>5.3000001907348633</v>
      </c>
      <c r="M1280" s="433">
        <f t="shared" si="105"/>
        <v>0</v>
      </c>
      <c r="N1280" s="672"/>
      <c r="O1280" s="729">
        <f>IF(N1280="",0,N1280*K1280/'9b-Vloeronderhoud'!$F$4)</f>
        <v>0</v>
      </c>
      <c r="P1280" s="672"/>
      <c r="Q1280" s="729" t="e">
        <f>IF(O1280="",0,P1280*L1280/'9b-Vloeronderhoud'!$F$6)</f>
        <v>#DIV/0!</v>
      </c>
      <c r="R1280" s="449">
        <v>1</v>
      </c>
      <c r="S1280" s="672">
        <v>190</v>
      </c>
      <c r="T1280" s="161" t="e">
        <f t="shared" si="101"/>
        <v>#DIV/0!</v>
      </c>
      <c r="U1280" s="162">
        <f>IF(S1280="nio",0,IF(S1280&gt;0,VLOOKUP(G1280,'3-Productie normen'!A:K,VLOOKUP(S1280,'3-Productie normen'!L:N,3,FALSE),FALSE)))</f>
        <v>0</v>
      </c>
      <c r="V1280" s="162">
        <f>VLOOKUP(G1280,'3-Productie normen'!A:K,10,FALSE)</f>
        <v>1859.5880019121171</v>
      </c>
      <c r="W1280" s="163">
        <f>VLOOKUP(G1280,'3-Productie normen'!A:K,11,FALSE)</f>
        <v>0</v>
      </c>
      <c r="X1280" s="163"/>
      <c r="Z1280" s="129">
        <f t="shared" si="102"/>
        <v>1007.000036239624</v>
      </c>
    </row>
    <row r="1281" spans="1:26" ht="14.1" customHeight="1">
      <c r="A1281" s="144">
        <v>1319</v>
      </c>
      <c r="B1281" s="646" t="s">
        <v>236</v>
      </c>
      <c r="C1281" s="646" t="s">
        <v>514</v>
      </c>
      <c r="D1281" s="647">
        <v>1</v>
      </c>
      <c r="E1281" s="719" t="s">
        <v>369</v>
      </c>
      <c r="F1281" s="646" t="s">
        <v>313</v>
      </c>
      <c r="G1281" s="645" t="s">
        <v>861</v>
      </c>
      <c r="H1281" s="649" t="s">
        <v>100</v>
      </c>
      <c r="I1281" s="582" t="str">
        <f>VLOOKUP(H1281,'9a-Typen vloeren'!$A$10:$B$40,2,FALSE)</f>
        <v>Sprayen/ conserveren</v>
      </c>
      <c r="J1281" s="654">
        <v>6.1500000953674316</v>
      </c>
      <c r="K1281" s="433">
        <f t="shared" si="103"/>
        <v>6.1500000953674316</v>
      </c>
      <c r="L1281" s="433">
        <f t="shared" si="104"/>
        <v>0</v>
      </c>
      <c r="M1281" s="433">
        <f t="shared" si="105"/>
        <v>0</v>
      </c>
      <c r="N1281" s="672"/>
      <c r="O1281" s="729">
        <f>IF(N1281="",0,N1281*K1281/'9b-Vloeronderhoud'!$F$4)</f>
        <v>0</v>
      </c>
      <c r="P1281" s="672"/>
      <c r="Q1281" s="729" t="e">
        <f>IF(O1281="",0,P1281*L1281/'9b-Vloeronderhoud'!$F$6)</f>
        <v>#DIV/0!</v>
      </c>
      <c r="R1281" s="449">
        <v>1</v>
      </c>
      <c r="S1281" s="672" t="s">
        <v>179</v>
      </c>
      <c r="T1281" s="161">
        <f t="shared" si="101"/>
        <v>0</v>
      </c>
      <c r="U1281" s="162">
        <f>IF(S1281="nio",0,IF(S1281&gt;0,VLOOKUP(G1281,'3-Productie normen'!A:K,VLOOKUP(S1281,'3-Productie normen'!L:N,3,FALSE),FALSE)))</f>
        <v>0</v>
      </c>
      <c r="V1281" s="162">
        <f>VLOOKUP(G1281,'3-Productie normen'!A:K,10,FALSE)</f>
        <v>137.96000057220459</v>
      </c>
      <c r="W1281" s="163">
        <f>VLOOKUP(G1281,'3-Productie normen'!A:K,11,FALSE)</f>
        <v>0</v>
      </c>
      <c r="X1281" s="163"/>
      <c r="Z1281" s="129">
        <f t="shared" si="102"/>
        <v>0</v>
      </c>
    </row>
    <row r="1282" spans="1:26" ht="14.1" customHeight="1">
      <c r="A1282" s="144">
        <v>1320</v>
      </c>
      <c r="B1282" s="659" t="s">
        <v>566</v>
      </c>
      <c r="C1282" s="659" t="s">
        <v>514</v>
      </c>
      <c r="D1282" s="666" t="s">
        <v>98</v>
      </c>
      <c r="E1282" s="716" t="s">
        <v>294</v>
      </c>
      <c r="F1282" s="659" t="s">
        <v>99</v>
      </c>
      <c r="G1282" s="658" t="s">
        <v>99</v>
      </c>
      <c r="H1282" s="662" t="s">
        <v>802</v>
      </c>
      <c r="I1282" s="582" t="str">
        <f>VLOOKUP(H1282,'9a-Typen vloeren'!$A$10:$B$40,2,FALSE)</f>
        <v>n.v.t.</v>
      </c>
      <c r="J1282" s="663">
        <v>8.52</v>
      </c>
      <c r="K1282" s="433">
        <f t="shared" si="103"/>
        <v>0</v>
      </c>
      <c r="L1282" s="433">
        <f t="shared" si="104"/>
        <v>0</v>
      </c>
      <c r="M1282" s="433">
        <f t="shared" si="105"/>
        <v>0</v>
      </c>
      <c r="N1282" s="672"/>
      <c r="O1282" s="729">
        <f>IF(N1282="",0,N1282*K1282/'9b-Vloeronderhoud'!$F$4)</f>
        <v>0</v>
      </c>
      <c r="P1282" s="672"/>
      <c r="Q1282" s="729" t="e">
        <f>IF(O1282="",0,P1282*L1282/'9b-Vloeronderhoud'!$F$6)</f>
        <v>#DIV/0!</v>
      </c>
      <c r="R1282" s="449">
        <v>1</v>
      </c>
      <c r="S1282" s="672">
        <v>190</v>
      </c>
      <c r="T1282" s="161" t="e">
        <f t="shared" si="101"/>
        <v>#DIV/0!</v>
      </c>
      <c r="U1282" s="162">
        <f>IF(S1282="nio",0,IF(S1282&gt;0,VLOOKUP(G1282,'3-Productie normen'!A:K,VLOOKUP(S1282,'3-Productie normen'!L:N,3,FALSE),FALSE)))</f>
        <v>0</v>
      </c>
      <c r="V1282" s="162">
        <f>VLOOKUP(G1282,'3-Productie normen'!A:K,10,FALSE)</f>
        <v>726.97999910354622</v>
      </c>
      <c r="W1282" s="163">
        <f>VLOOKUP(G1282,'3-Productie normen'!A:K,11,FALSE)</f>
        <v>0</v>
      </c>
      <c r="X1282" s="163"/>
      <c r="Z1282" s="129">
        <f t="shared" si="102"/>
        <v>1618.8</v>
      </c>
    </row>
    <row r="1283" spans="1:26" ht="14.1" customHeight="1">
      <c r="A1283" s="144">
        <v>1321</v>
      </c>
      <c r="B1283" s="659" t="s">
        <v>566</v>
      </c>
      <c r="C1283" s="659" t="s">
        <v>514</v>
      </c>
      <c r="D1283" s="666" t="s">
        <v>98</v>
      </c>
      <c r="E1283" s="716" t="s">
        <v>295</v>
      </c>
      <c r="F1283" s="659" t="s">
        <v>481</v>
      </c>
      <c r="G1283" s="658" t="s">
        <v>287</v>
      </c>
      <c r="H1283" s="662" t="s">
        <v>930</v>
      </c>
      <c r="I1283" s="582" t="str">
        <f>VLOOKUP(H1283,'9a-Typen vloeren'!$A$10:$B$40,2,FALSE)</f>
        <v>n.v.t.</v>
      </c>
      <c r="J1283" s="663">
        <v>13.5</v>
      </c>
      <c r="K1283" s="433">
        <f t="shared" si="103"/>
        <v>0</v>
      </c>
      <c r="L1283" s="433">
        <f t="shared" si="104"/>
        <v>0</v>
      </c>
      <c r="M1283" s="433">
        <f t="shared" si="105"/>
        <v>0</v>
      </c>
      <c r="N1283" s="672"/>
      <c r="O1283" s="729">
        <f>IF(N1283="",0,N1283*K1283/'9b-Vloeronderhoud'!$F$4)</f>
        <v>0</v>
      </c>
      <c r="P1283" s="672"/>
      <c r="Q1283" s="729" t="e">
        <f>IF(O1283="",0,P1283*L1283/'9b-Vloeronderhoud'!$F$6)</f>
        <v>#DIV/0!</v>
      </c>
      <c r="R1283" s="449">
        <v>1</v>
      </c>
      <c r="S1283" s="672">
        <v>80</v>
      </c>
      <c r="T1283" s="161" t="e">
        <f t="shared" si="101"/>
        <v>#DIV/0!</v>
      </c>
      <c r="U1283" s="162">
        <f>IF(S1283="nio",0,IF(S1283&gt;0,VLOOKUP(G1283,'3-Productie normen'!A:K,VLOOKUP(S1283,'3-Productie normen'!L:N,3,FALSE),FALSE)))</f>
        <v>0</v>
      </c>
      <c r="V1283" s="162">
        <f>VLOOKUP(G1283,'3-Productie normen'!A:K,10,FALSE)</f>
        <v>519.460002565384</v>
      </c>
      <c r="W1283" s="163">
        <f>VLOOKUP(G1283,'3-Productie normen'!A:K,11,FALSE)</f>
        <v>0</v>
      </c>
      <c r="X1283" s="163"/>
      <c r="Z1283" s="129">
        <f t="shared" si="102"/>
        <v>1080</v>
      </c>
    </row>
    <row r="1284" spans="1:26" ht="14.1" customHeight="1">
      <c r="A1284" s="144">
        <v>1322</v>
      </c>
      <c r="B1284" s="659" t="s">
        <v>566</v>
      </c>
      <c r="C1284" s="659" t="s">
        <v>514</v>
      </c>
      <c r="D1284" s="666" t="s">
        <v>98</v>
      </c>
      <c r="E1284" s="716" t="s">
        <v>296</v>
      </c>
      <c r="F1284" s="659" t="s">
        <v>267</v>
      </c>
      <c r="G1284" s="658" t="s">
        <v>18</v>
      </c>
      <c r="H1284" s="662" t="s">
        <v>333</v>
      </c>
      <c r="I1284" s="582" t="str">
        <f>VLOOKUP(H1284,'9a-Typen vloeren'!$A$10:$B$40,2,FALSE)</f>
        <v>Schrobben</v>
      </c>
      <c r="J1284" s="663">
        <v>10.5</v>
      </c>
      <c r="K1284" s="433">
        <f t="shared" si="103"/>
        <v>0</v>
      </c>
      <c r="L1284" s="433">
        <f t="shared" si="104"/>
        <v>10.5</v>
      </c>
      <c r="M1284" s="433">
        <f t="shared" si="105"/>
        <v>0</v>
      </c>
      <c r="N1284" s="672"/>
      <c r="O1284" s="729">
        <f>IF(N1284="",0,N1284*K1284/'9b-Vloeronderhoud'!$F$4)</f>
        <v>0</v>
      </c>
      <c r="P1284" s="672"/>
      <c r="Q1284" s="729" t="e">
        <f>IF(O1284="",0,P1284*L1284/'9b-Vloeronderhoud'!$F$6)</f>
        <v>#DIV/0!</v>
      </c>
      <c r="R1284" s="449">
        <v>1</v>
      </c>
      <c r="S1284" s="672">
        <v>190</v>
      </c>
      <c r="T1284" s="161" t="e">
        <f t="shared" si="101"/>
        <v>#DIV/0!</v>
      </c>
      <c r="U1284" s="162">
        <f>IF(S1284="nio",0,IF(S1284&gt;0,VLOOKUP(G1284,'3-Productie normen'!A:K,VLOOKUP(S1284,'3-Productie normen'!L:N,3,FALSE),FALSE)))</f>
        <v>0</v>
      </c>
      <c r="V1284" s="162">
        <f>VLOOKUP(G1284,'3-Productie normen'!A:K,10,FALSE)</f>
        <v>1859.5880019121171</v>
      </c>
      <c r="W1284" s="163">
        <f>VLOOKUP(G1284,'3-Productie normen'!A:K,11,FALSE)</f>
        <v>0</v>
      </c>
      <c r="X1284" s="163"/>
      <c r="Z1284" s="129">
        <f t="shared" si="102"/>
        <v>1995</v>
      </c>
    </row>
    <row r="1285" spans="1:26" ht="14.1" customHeight="1">
      <c r="A1285" s="144">
        <v>1323</v>
      </c>
      <c r="B1285" s="659" t="s">
        <v>566</v>
      </c>
      <c r="C1285" s="659" t="s">
        <v>514</v>
      </c>
      <c r="D1285" s="666" t="s">
        <v>98</v>
      </c>
      <c r="E1285" s="716" t="s">
        <v>298</v>
      </c>
      <c r="F1285" s="659" t="s">
        <v>480</v>
      </c>
      <c r="G1285" s="667" t="s">
        <v>480</v>
      </c>
      <c r="H1285" s="662" t="s">
        <v>931</v>
      </c>
      <c r="I1285" s="582" t="str">
        <f>VLOOKUP(H1285,'9a-Typen vloeren'!$A$10:$B$40,2,FALSE)</f>
        <v>Schrobben</v>
      </c>
      <c r="J1285" s="663">
        <v>3</v>
      </c>
      <c r="K1285" s="433">
        <f t="shared" si="103"/>
        <v>0</v>
      </c>
      <c r="L1285" s="433">
        <f t="shared" si="104"/>
        <v>3</v>
      </c>
      <c r="M1285" s="433">
        <f t="shared" si="105"/>
        <v>0</v>
      </c>
      <c r="N1285" s="672"/>
      <c r="O1285" s="729">
        <f>IF(N1285="",0,N1285*K1285/'9b-Vloeronderhoud'!$F$4)</f>
        <v>0</v>
      </c>
      <c r="P1285" s="672"/>
      <c r="Q1285" s="729" t="e">
        <f>IF(O1285="",0,P1285*L1285/'9b-Vloeronderhoud'!$F$6)</f>
        <v>#DIV/0!</v>
      </c>
      <c r="R1285" s="449">
        <v>1</v>
      </c>
      <c r="S1285" s="672">
        <v>40</v>
      </c>
      <c r="T1285" s="161" t="e">
        <f t="shared" si="101"/>
        <v>#DIV/0!</v>
      </c>
      <c r="U1285" s="162">
        <f>IF(S1285="nio",0,IF(S1285&gt;0,VLOOKUP(G1285,'3-Productie normen'!A:K,VLOOKUP(S1285,'3-Productie normen'!L:N,3,FALSE),FALSE)))</f>
        <v>0</v>
      </c>
      <c r="V1285" s="162">
        <f>VLOOKUP(G1285,'3-Productie normen'!A:K,10,FALSE)</f>
        <v>31.690000023841854</v>
      </c>
      <c r="W1285" s="163">
        <f>VLOOKUP(G1285,'3-Productie normen'!A:K,11,FALSE)</f>
        <v>0</v>
      </c>
      <c r="X1285" s="163"/>
      <c r="Z1285" s="129">
        <f t="shared" si="102"/>
        <v>120</v>
      </c>
    </row>
    <row r="1286" spans="1:26" ht="14.1" customHeight="1">
      <c r="A1286" s="144">
        <v>1324</v>
      </c>
      <c r="B1286" s="659" t="s">
        <v>566</v>
      </c>
      <c r="C1286" s="659" t="s">
        <v>514</v>
      </c>
      <c r="D1286" s="666" t="s">
        <v>98</v>
      </c>
      <c r="E1286" s="716" t="s">
        <v>305</v>
      </c>
      <c r="F1286" s="659" t="s">
        <v>765</v>
      </c>
      <c r="G1286" s="658" t="s">
        <v>191</v>
      </c>
      <c r="H1286" s="662" t="s">
        <v>1058</v>
      </c>
      <c r="I1286" s="582" t="str">
        <f>VLOOKUP(H1286,'9a-Typen vloeren'!$A$10:$B$40,2,FALSE)</f>
        <v>Sproei/extraheren</v>
      </c>
      <c r="J1286" s="663">
        <v>5.35</v>
      </c>
      <c r="K1286" s="433">
        <f t="shared" si="103"/>
        <v>0</v>
      </c>
      <c r="L1286" s="433">
        <f t="shared" si="104"/>
        <v>0</v>
      </c>
      <c r="M1286" s="433">
        <f t="shared" si="105"/>
        <v>5.35</v>
      </c>
      <c r="N1286" s="672"/>
      <c r="O1286" s="729">
        <f>IF(N1286="",0,N1286*K1286/'9b-Vloeronderhoud'!$F$4)</f>
        <v>0</v>
      </c>
      <c r="P1286" s="672"/>
      <c r="Q1286" s="729" t="e">
        <f>IF(O1286="",0,P1286*L1286/'9b-Vloeronderhoud'!$F$6)</f>
        <v>#DIV/0!</v>
      </c>
      <c r="R1286" s="449">
        <v>1</v>
      </c>
      <c r="S1286" s="675">
        <v>40</v>
      </c>
      <c r="T1286" s="161" t="e">
        <f t="shared" si="101"/>
        <v>#DIV/0!</v>
      </c>
      <c r="U1286" s="162">
        <f>IF(S1286="nio",0,IF(S1286&gt;0,VLOOKUP(G1286,'3-Productie normen'!A:K,VLOOKUP(S1286,'3-Productie normen'!L:N,3,FALSE),FALSE)))</f>
        <v>0</v>
      </c>
      <c r="V1286" s="162">
        <f>VLOOKUP(G1286,'3-Productie normen'!A:K,10,FALSE)</f>
        <v>314.55999933242794</v>
      </c>
      <c r="W1286" s="163">
        <f>VLOOKUP(G1286,'3-Productie normen'!A:K,11,FALSE)</f>
        <v>0</v>
      </c>
      <c r="X1286" s="163"/>
      <c r="Z1286" s="129">
        <f t="shared" si="102"/>
        <v>214</v>
      </c>
    </row>
    <row r="1287" spans="1:26" ht="14.1" customHeight="1">
      <c r="A1287" s="144">
        <v>1325</v>
      </c>
      <c r="B1287" s="651" t="s">
        <v>566</v>
      </c>
      <c r="C1287" s="651" t="s">
        <v>514</v>
      </c>
      <c r="D1287" s="652" t="s">
        <v>98</v>
      </c>
      <c r="E1287" s="720" t="s">
        <v>1059</v>
      </c>
      <c r="F1287" s="651" t="s">
        <v>404</v>
      </c>
      <c r="G1287" s="650" t="s">
        <v>286</v>
      </c>
      <c r="H1287" s="653" t="s">
        <v>100</v>
      </c>
      <c r="I1287" s="582" t="str">
        <f>VLOOKUP(H1287,'9a-Typen vloeren'!$A$10:$B$40,2,FALSE)</f>
        <v>Sprayen/ conserveren</v>
      </c>
      <c r="J1287" s="655">
        <v>65</v>
      </c>
      <c r="K1287" s="433">
        <f t="shared" si="103"/>
        <v>65</v>
      </c>
      <c r="L1287" s="433">
        <f t="shared" si="104"/>
        <v>0</v>
      </c>
      <c r="M1287" s="433">
        <f t="shared" si="105"/>
        <v>0</v>
      </c>
      <c r="N1287" s="672">
        <v>2</v>
      </c>
      <c r="O1287" s="729" t="e">
        <f>IF(N1287="",0,N1287*K1287/'9b-Vloeronderhoud'!$F$4)</f>
        <v>#DIV/0!</v>
      </c>
      <c r="P1287" s="672"/>
      <c r="Q1287" s="729" t="e">
        <f>IF(O1287="",0,P1287*L1287/'9b-Vloeronderhoud'!$F$6)</f>
        <v>#DIV/0!</v>
      </c>
      <c r="R1287" s="449">
        <v>1</v>
      </c>
      <c r="S1287" s="672">
        <v>120</v>
      </c>
      <c r="T1287" s="161" t="e">
        <f t="shared" si="101"/>
        <v>#DIV/0!</v>
      </c>
      <c r="U1287" s="162">
        <f>IF(S1287="nio",0,IF(S1287&gt;0,VLOOKUP(G1287,'3-Productie normen'!A:K,VLOOKUP(S1287,'3-Productie normen'!L:N,3,FALSE),FALSE)))</f>
        <v>0</v>
      </c>
      <c r="V1287" s="162">
        <f>VLOOKUP(G1287,'3-Productie normen'!A:K,10,FALSE)</f>
        <v>6152.9500017547598</v>
      </c>
      <c r="W1287" s="163">
        <f>VLOOKUP(G1287,'3-Productie normen'!A:K,11,FALSE)</f>
        <v>0</v>
      </c>
      <c r="X1287" s="163"/>
      <c r="Z1287" s="129">
        <f t="shared" si="102"/>
        <v>7800</v>
      </c>
    </row>
    <row r="1288" spans="1:26" ht="14.1" customHeight="1">
      <c r="A1288" s="144">
        <v>1326</v>
      </c>
      <c r="B1288" s="651" t="s">
        <v>566</v>
      </c>
      <c r="C1288" s="651" t="s">
        <v>514</v>
      </c>
      <c r="D1288" s="652">
        <v>1</v>
      </c>
      <c r="E1288" s="720" t="s">
        <v>1060</v>
      </c>
      <c r="F1288" s="651" t="s">
        <v>404</v>
      </c>
      <c r="G1288" s="648" t="s">
        <v>286</v>
      </c>
      <c r="H1288" s="653" t="s">
        <v>100</v>
      </c>
      <c r="I1288" s="582" t="str">
        <f>VLOOKUP(H1288,'9a-Typen vloeren'!$A$10:$B$40,2,FALSE)</f>
        <v>Sprayen/ conserveren</v>
      </c>
      <c r="J1288" s="655">
        <v>58</v>
      </c>
      <c r="K1288" s="433">
        <f t="shared" si="103"/>
        <v>58</v>
      </c>
      <c r="L1288" s="433">
        <f t="shared" si="104"/>
        <v>0</v>
      </c>
      <c r="M1288" s="433">
        <f t="shared" si="105"/>
        <v>0</v>
      </c>
      <c r="N1288" s="672">
        <v>2</v>
      </c>
      <c r="O1288" s="729" t="e">
        <f>IF(N1288="",0,N1288*K1288/'9b-Vloeronderhoud'!$F$4)</f>
        <v>#DIV/0!</v>
      </c>
      <c r="P1288" s="672"/>
      <c r="Q1288" s="729" t="e">
        <f>IF(O1288="",0,P1288*L1288/'9b-Vloeronderhoud'!$F$6)</f>
        <v>#DIV/0!</v>
      </c>
      <c r="R1288" s="449">
        <v>1</v>
      </c>
      <c r="S1288" s="672">
        <v>120</v>
      </c>
      <c r="T1288" s="161" t="e">
        <f t="shared" si="101"/>
        <v>#DIV/0!</v>
      </c>
      <c r="U1288" s="162">
        <f>IF(S1288="nio",0,IF(S1288&gt;0,VLOOKUP(G1288,'3-Productie normen'!A:K,VLOOKUP(S1288,'3-Productie normen'!L:N,3,FALSE),FALSE)))</f>
        <v>0</v>
      </c>
      <c r="V1288" s="162">
        <f>VLOOKUP(G1288,'3-Productie normen'!A:K,10,FALSE)</f>
        <v>6152.9500017547598</v>
      </c>
      <c r="W1288" s="163">
        <f>VLOOKUP(G1288,'3-Productie normen'!A:K,11,FALSE)</f>
        <v>0</v>
      </c>
      <c r="X1288" s="163"/>
      <c r="Z1288" s="129">
        <f t="shared" si="102"/>
        <v>6960</v>
      </c>
    </row>
    <row r="1289" spans="1:26" ht="14.1" customHeight="1">
      <c r="A1289" s="144">
        <v>1327</v>
      </c>
      <c r="B1289" s="659" t="s">
        <v>566</v>
      </c>
      <c r="C1289" s="659" t="s">
        <v>514</v>
      </c>
      <c r="D1289" s="666" t="s">
        <v>98</v>
      </c>
      <c r="E1289" s="716" t="s">
        <v>311</v>
      </c>
      <c r="F1289" s="659" t="s">
        <v>765</v>
      </c>
      <c r="G1289" s="658" t="s">
        <v>191</v>
      </c>
      <c r="H1289" s="662" t="s">
        <v>1058</v>
      </c>
      <c r="I1289" s="582" t="str">
        <f>VLOOKUP(H1289,'9a-Typen vloeren'!$A$10:$B$40,2,FALSE)</f>
        <v>Sproei/extraheren</v>
      </c>
      <c r="J1289" s="663">
        <v>5.35</v>
      </c>
      <c r="K1289" s="433">
        <f t="shared" si="103"/>
        <v>0</v>
      </c>
      <c r="L1289" s="433">
        <f t="shared" si="104"/>
        <v>0</v>
      </c>
      <c r="M1289" s="433">
        <f t="shared" si="105"/>
        <v>5.35</v>
      </c>
      <c r="N1289" s="672"/>
      <c r="O1289" s="729">
        <f>IF(N1289="",0,N1289*K1289/'9b-Vloeronderhoud'!$F$4)</f>
        <v>0</v>
      </c>
      <c r="P1289" s="672"/>
      <c r="Q1289" s="729" t="e">
        <f>IF(O1289="",0,P1289*L1289/'9b-Vloeronderhoud'!$F$6)</f>
        <v>#DIV/0!</v>
      </c>
      <c r="R1289" s="449">
        <v>1</v>
      </c>
      <c r="S1289" s="675">
        <v>40</v>
      </c>
      <c r="T1289" s="161" t="e">
        <f t="shared" si="101"/>
        <v>#DIV/0!</v>
      </c>
      <c r="U1289" s="162">
        <f>IF(S1289="nio",0,IF(S1289&gt;0,VLOOKUP(G1289,'3-Productie normen'!A:K,VLOOKUP(S1289,'3-Productie normen'!L:N,3,FALSE),FALSE)))</f>
        <v>0</v>
      </c>
      <c r="V1289" s="162">
        <f>VLOOKUP(G1289,'3-Productie normen'!A:K,10,FALSE)</f>
        <v>314.55999933242794</v>
      </c>
      <c r="W1289" s="163">
        <f>VLOOKUP(G1289,'3-Productie normen'!A:K,11,FALSE)</f>
        <v>0</v>
      </c>
      <c r="X1289" s="163"/>
      <c r="Z1289" s="129">
        <f t="shared" si="102"/>
        <v>214</v>
      </c>
    </row>
    <row r="1290" spans="1:26" ht="14.1" customHeight="1">
      <c r="A1290" s="144">
        <v>1328</v>
      </c>
      <c r="B1290" s="659" t="s">
        <v>566</v>
      </c>
      <c r="C1290" s="659" t="s">
        <v>514</v>
      </c>
      <c r="D1290" s="666" t="s">
        <v>98</v>
      </c>
      <c r="E1290" s="716" t="s">
        <v>312</v>
      </c>
      <c r="F1290" s="659" t="s">
        <v>854</v>
      </c>
      <c r="G1290" s="658" t="s">
        <v>299</v>
      </c>
      <c r="H1290" s="662" t="s">
        <v>1058</v>
      </c>
      <c r="I1290" s="582" t="str">
        <f>VLOOKUP(H1290,'9a-Typen vloeren'!$A$10:$B$40,2,FALSE)</f>
        <v>Sproei/extraheren</v>
      </c>
      <c r="J1290" s="663">
        <v>54</v>
      </c>
      <c r="K1290" s="433">
        <f t="shared" si="103"/>
        <v>0</v>
      </c>
      <c r="L1290" s="433">
        <f t="shared" si="104"/>
        <v>0</v>
      </c>
      <c r="M1290" s="433">
        <f t="shared" si="105"/>
        <v>54</v>
      </c>
      <c r="N1290" s="672"/>
      <c r="O1290" s="729">
        <f>IF(N1290="",0,N1290*K1290/'9b-Vloeronderhoud'!$F$4)</f>
        <v>0</v>
      </c>
      <c r="P1290" s="672"/>
      <c r="Q1290" s="729" t="e">
        <f>IF(O1290="",0,P1290*L1290/'9b-Vloeronderhoud'!$F$6)</f>
        <v>#DIV/0!</v>
      </c>
      <c r="R1290" s="449">
        <v>1</v>
      </c>
      <c r="S1290" s="672">
        <v>40</v>
      </c>
      <c r="T1290" s="161" t="e">
        <f t="shared" ref="T1290:T1353" si="106">IF(S1290="nio",0,IF(S1290&gt;0,S1290*J1290/U1290,0))*R1290</f>
        <v>#DIV/0!</v>
      </c>
      <c r="U1290" s="162">
        <f>IF(S1290="nio",0,IF(S1290&gt;0,VLOOKUP(G1290,'3-Productie normen'!A:K,VLOOKUP(S1290,'3-Productie normen'!L:N,3,FALSE),FALSE)))</f>
        <v>0</v>
      </c>
      <c r="V1290" s="162">
        <f>VLOOKUP(G1290,'3-Productie normen'!A:K,10,FALSE)</f>
        <v>1107.9100014114381</v>
      </c>
      <c r="W1290" s="163">
        <f>VLOOKUP(G1290,'3-Productie normen'!A:K,11,FALSE)</f>
        <v>0</v>
      </c>
      <c r="X1290" s="163"/>
      <c r="Z1290" s="129">
        <f t="shared" ref="Z1290:Z1353" si="107">SUM(S1290:S1290)*J1290</f>
        <v>2160</v>
      </c>
    </row>
    <row r="1291" spans="1:26" ht="14.1" customHeight="1">
      <c r="A1291" s="144">
        <v>1329</v>
      </c>
      <c r="B1291" s="659" t="s">
        <v>566</v>
      </c>
      <c r="C1291" s="659" t="s">
        <v>514</v>
      </c>
      <c r="D1291" s="666" t="s">
        <v>98</v>
      </c>
      <c r="E1291" s="716" t="s">
        <v>312</v>
      </c>
      <c r="F1291" s="659" t="s">
        <v>854</v>
      </c>
      <c r="G1291" s="658" t="s">
        <v>299</v>
      </c>
      <c r="H1291" s="662" t="s">
        <v>100</v>
      </c>
      <c r="I1291" s="582" t="str">
        <f>VLOOKUP(H1291,'9a-Typen vloeren'!$A$10:$B$40,2,FALSE)</f>
        <v>Sprayen/ conserveren</v>
      </c>
      <c r="J1291" s="663">
        <v>5</v>
      </c>
      <c r="K1291" s="433">
        <f t="shared" si="103"/>
        <v>5</v>
      </c>
      <c r="L1291" s="433">
        <f t="shared" si="104"/>
        <v>0</v>
      </c>
      <c r="M1291" s="433">
        <f t="shared" si="105"/>
        <v>0</v>
      </c>
      <c r="N1291" s="672"/>
      <c r="O1291" s="729">
        <f>IF(N1291="",0,N1291*K1291/'9b-Vloeronderhoud'!$F$4)</f>
        <v>0</v>
      </c>
      <c r="P1291" s="672"/>
      <c r="Q1291" s="729" t="e">
        <f>IF(O1291="",0,P1291*L1291/'9b-Vloeronderhoud'!$F$6)</f>
        <v>#DIV/0!</v>
      </c>
      <c r="R1291" s="449">
        <v>1</v>
      </c>
      <c r="S1291" s="672">
        <v>40</v>
      </c>
      <c r="T1291" s="161" t="e">
        <f t="shared" si="106"/>
        <v>#DIV/0!</v>
      </c>
      <c r="U1291" s="162">
        <f>IF(S1291="nio",0,IF(S1291&gt;0,VLOOKUP(G1291,'3-Productie normen'!A:K,VLOOKUP(S1291,'3-Productie normen'!L:N,3,FALSE),FALSE)))</f>
        <v>0</v>
      </c>
      <c r="V1291" s="162">
        <f>VLOOKUP(G1291,'3-Productie normen'!A:K,10,FALSE)</f>
        <v>1107.9100014114381</v>
      </c>
      <c r="W1291" s="163">
        <f>VLOOKUP(G1291,'3-Productie normen'!A:K,11,FALSE)</f>
        <v>0</v>
      </c>
      <c r="X1291" s="163"/>
      <c r="Z1291" s="129">
        <f t="shared" si="107"/>
        <v>200</v>
      </c>
    </row>
    <row r="1292" spans="1:26" ht="14.1" customHeight="1">
      <c r="A1292" s="144">
        <v>1330</v>
      </c>
      <c r="B1292" s="659" t="s">
        <v>566</v>
      </c>
      <c r="C1292" s="659" t="s">
        <v>514</v>
      </c>
      <c r="D1292" s="666">
        <v>1</v>
      </c>
      <c r="E1292" s="716" t="s">
        <v>351</v>
      </c>
      <c r="F1292" s="659" t="s">
        <v>404</v>
      </c>
      <c r="G1292" s="658" t="s">
        <v>286</v>
      </c>
      <c r="H1292" s="662" t="s">
        <v>100</v>
      </c>
      <c r="I1292" s="582" t="str">
        <f>VLOOKUP(H1292,'9a-Typen vloeren'!$A$10:$B$40,2,FALSE)</f>
        <v>Sprayen/ conserveren</v>
      </c>
      <c r="J1292" s="663">
        <v>67</v>
      </c>
      <c r="K1292" s="433">
        <f t="shared" si="103"/>
        <v>67</v>
      </c>
      <c r="L1292" s="433">
        <f t="shared" si="104"/>
        <v>0</v>
      </c>
      <c r="M1292" s="433">
        <f t="shared" si="105"/>
        <v>0</v>
      </c>
      <c r="N1292" s="672">
        <v>2</v>
      </c>
      <c r="O1292" s="729" t="e">
        <f>IF(N1292="",0,N1292*K1292/'9b-Vloeronderhoud'!$F$4)</f>
        <v>#DIV/0!</v>
      </c>
      <c r="P1292" s="672"/>
      <c r="Q1292" s="729" t="e">
        <f>IF(O1292="",0,P1292*L1292/'9b-Vloeronderhoud'!$F$6)</f>
        <v>#DIV/0!</v>
      </c>
      <c r="R1292" s="449">
        <v>1</v>
      </c>
      <c r="S1292" s="672">
        <v>120</v>
      </c>
      <c r="T1292" s="161" t="e">
        <f t="shared" si="106"/>
        <v>#DIV/0!</v>
      </c>
      <c r="U1292" s="162">
        <f>IF(S1292="nio",0,IF(S1292&gt;0,VLOOKUP(G1292,'3-Productie normen'!A:K,VLOOKUP(S1292,'3-Productie normen'!L:N,3,FALSE),FALSE)))</f>
        <v>0</v>
      </c>
      <c r="V1292" s="162">
        <f>VLOOKUP(G1292,'3-Productie normen'!A:K,10,FALSE)</f>
        <v>6152.9500017547598</v>
      </c>
      <c r="W1292" s="163">
        <f>VLOOKUP(G1292,'3-Productie normen'!A:K,11,FALSE)</f>
        <v>0</v>
      </c>
      <c r="X1292" s="163"/>
      <c r="Z1292" s="129">
        <f t="shared" si="107"/>
        <v>8040</v>
      </c>
    </row>
    <row r="1293" spans="1:26" ht="14.1" customHeight="1">
      <c r="A1293" s="144">
        <v>1331</v>
      </c>
      <c r="B1293" s="659" t="s">
        <v>566</v>
      </c>
      <c r="C1293" s="659" t="s">
        <v>514</v>
      </c>
      <c r="D1293" s="666">
        <v>1</v>
      </c>
      <c r="E1293" s="716" t="s">
        <v>352</v>
      </c>
      <c r="F1293" s="659" t="s">
        <v>855</v>
      </c>
      <c r="G1293" s="658" t="s">
        <v>286</v>
      </c>
      <c r="H1293" s="662" t="s">
        <v>1058</v>
      </c>
      <c r="I1293" s="582" t="str">
        <f>VLOOKUP(H1293,'9a-Typen vloeren'!$A$10:$B$40,2,FALSE)</f>
        <v>Sproei/extraheren</v>
      </c>
      <c r="J1293" s="663">
        <v>55</v>
      </c>
      <c r="K1293" s="433">
        <f t="shared" si="103"/>
        <v>0</v>
      </c>
      <c r="L1293" s="433">
        <f t="shared" si="104"/>
        <v>0</v>
      </c>
      <c r="M1293" s="433">
        <f t="shared" si="105"/>
        <v>55</v>
      </c>
      <c r="N1293" s="672"/>
      <c r="O1293" s="729">
        <f>IF(N1293="",0,N1293*K1293/'9b-Vloeronderhoud'!$F$4)</f>
        <v>0</v>
      </c>
      <c r="P1293" s="672"/>
      <c r="Q1293" s="729" t="e">
        <f>IF(O1293="",0,P1293*L1293/'9b-Vloeronderhoud'!$F$6)</f>
        <v>#DIV/0!</v>
      </c>
      <c r="R1293" s="449">
        <v>1</v>
      </c>
      <c r="S1293" s="672">
        <v>120</v>
      </c>
      <c r="T1293" s="161" t="e">
        <f t="shared" si="106"/>
        <v>#DIV/0!</v>
      </c>
      <c r="U1293" s="162">
        <f>IF(S1293="nio",0,IF(S1293&gt;0,VLOOKUP(G1293,'3-Productie normen'!A:K,VLOOKUP(S1293,'3-Productie normen'!L:N,3,FALSE),FALSE)))</f>
        <v>0</v>
      </c>
      <c r="V1293" s="162">
        <f>VLOOKUP(G1293,'3-Productie normen'!A:K,10,FALSE)</f>
        <v>6152.9500017547598</v>
      </c>
      <c r="W1293" s="163">
        <f>VLOOKUP(G1293,'3-Productie normen'!A:K,11,FALSE)</f>
        <v>0</v>
      </c>
      <c r="X1293" s="163"/>
      <c r="Z1293" s="129">
        <f t="shared" si="107"/>
        <v>6600</v>
      </c>
    </row>
    <row r="1294" spans="1:26" ht="14.1" customHeight="1">
      <c r="A1294" s="144">
        <v>1332</v>
      </c>
      <c r="B1294" s="659" t="s">
        <v>566</v>
      </c>
      <c r="C1294" s="659" t="s">
        <v>514</v>
      </c>
      <c r="D1294" s="666">
        <v>1</v>
      </c>
      <c r="E1294" s="716" t="s">
        <v>354</v>
      </c>
      <c r="F1294" s="659" t="s">
        <v>470</v>
      </c>
      <c r="G1294" s="658" t="s">
        <v>221</v>
      </c>
      <c r="H1294" s="662" t="s">
        <v>100</v>
      </c>
      <c r="I1294" s="582" t="str">
        <f>VLOOKUP(H1294,'9a-Typen vloeren'!$A$10:$B$40,2,FALSE)</f>
        <v>Sprayen/ conserveren</v>
      </c>
      <c r="J1294" s="663">
        <v>71.5</v>
      </c>
      <c r="K1294" s="433">
        <f t="shared" si="103"/>
        <v>71.5</v>
      </c>
      <c r="L1294" s="433">
        <f t="shared" si="104"/>
        <v>0</v>
      </c>
      <c r="M1294" s="433">
        <f t="shared" si="105"/>
        <v>0</v>
      </c>
      <c r="N1294" s="672"/>
      <c r="O1294" s="729">
        <f>IF(N1294="",0,N1294*K1294/'9b-Vloeronderhoud'!$F$4)</f>
        <v>0</v>
      </c>
      <c r="P1294" s="672"/>
      <c r="Q1294" s="729" t="e">
        <f>IF(O1294="",0,P1294*L1294/'9b-Vloeronderhoud'!$F$6)</f>
        <v>#DIV/0!</v>
      </c>
      <c r="R1294" s="449">
        <v>1</v>
      </c>
      <c r="S1294" s="688" t="s">
        <v>179</v>
      </c>
      <c r="T1294" s="161">
        <f t="shared" si="106"/>
        <v>0</v>
      </c>
      <c r="U1294" s="162">
        <f>IF(S1294="nio",0,IF(S1294&gt;0,VLOOKUP(G1294,'3-Productie normen'!A:K,VLOOKUP(S1294,'3-Productie normen'!L:N,3,FALSE),FALSE)))</f>
        <v>0</v>
      </c>
      <c r="V1294" s="162">
        <f>VLOOKUP(G1294,'3-Productie normen'!A:K,10,FALSE)</f>
        <v>16013.110036668773</v>
      </c>
      <c r="W1294" s="163">
        <f>VLOOKUP(G1294,'3-Productie normen'!A:K,11,FALSE)</f>
        <v>0</v>
      </c>
      <c r="X1294" s="163"/>
      <c r="Z1294" s="129">
        <f t="shared" si="107"/>
        <v>0</v>
      </c>
    </row>
    <row r="1295" spans="1:26" ht="14.1" customHeight="1">
      <c r="A1295" s="144">
        <v>1333</v>
      </c>
      <c r="B1295" s="659" t="s">
        <v>1100</v>
      </c>
      <c r="C1295" s="659" t="s">
        <v>514</v>
      </c>
      <c r="D1295" s="666">
        <v>1</v>
      </c>
      <c r="E1295" s="716" t="s">
        <v>1061</v>
      </c>
      <c r="F1295" s="659" t="s">
        <v>382</v>
      </c>
      <c r="G1295" s="658" t="s">
        <v>861</v>
      </c>
      <c r="H1295" s="662" t="s">
        <v>376</v>
      </c>
      <c r="I1295" s="582" t="str">
        <f>VLOOKUP(H1295,'9a-Typen vloeren'!$A$10:$B$40,2,FALSE)</f>
        <v>Schrobben</v>
      </c>
      <c r="J1295" s="663">
        <v>36</v>
      </c>
      <c r="K1295" s="433">
        <f t="shared" si="103"/>
        <v>0</v>
      </c>
      <c r="L1295" s="433">
        <f t="shared" si="104"/>
        <v>36</v>
      </c>
      <c r="M1295" s="433">
        <f t="shared" si="105"/>
        <v>0</v>
      </c>
      <c r="N1295" s="672"/>
      <c r="O1295" s="729">
        <f>IF(N1295="",0,N1295*K1295/'9b-Vloeronderhoud'!$F$4)</f>
        <v>0</v>
      </c>
      <c r="P1295" s="672"/>
      <c r="Q1295" s="729" t="e">
        <f>IF(O1295="",0,P1295*L1295/'9b-Vloeronderhoud'!$F$6)</f>
        <v>#DIV/0!</v>
      </c>
      <c r="R1295" s="449">
        <v>1</v>
      </c>
      <c r="S1295" s="672" t="s">
        <v>179</v>
      </c>
      <c r="T1295" s="161">
        <f t="shared" si="106"/>
        <v>0</v>
      </c>
      <c r="U1295" s="162">
        <f>IF(S1295="nio",0,IF(S1295&gt;0,VLOOKUP(G1295,'3-Productie normen'!A:K,VLOOKUP(S1295,'3-Productie normen'!L:N,3,FALSE),FALSE)))</f>
        <v>0</v>
      </c>
      <c r="V1295" s="162">
        <f>VLOOKUP(G1295,'3-Productie normen'!A:K,10,FALSE)</f>
        <v>137.96000057220459</v>
      </c>
      <c r="W1295" s="163">
        <f>VLOOKUP(G1295,'3-Productie normen'!A:K,11,FALSE)</f>
        <v>0</v>
      </c>
      <c r="X1295" s="163"/>
      <c r="Z1295" s="129">
        <f t="shared" si="107"/>
        <v>0</v>
      </c>
    </row>
    <row r="1296" spans="1:26" ht="14.1" customHeight="1">
      <c r="A1296" s="144">
        <v>1334</v>
      </c>
      <c r="B1296" s="659" t="s">
        <v>1100</v>
      </c>
      <c r="C1296" s="659" t="s">
        <v>514</v>
      </c>
      <c r="D1296" s="666">
        <v>1</v>
      </c>
      <c r="E1296" s="716" t="s">
        <v>1062</v>
      </c>
      <c r="F1296" s="659" t="s">
        <v>382</v>
      </c>
      <c r="G1296" s="658" t="s">
        <v>861</v>
      </c>
      <c r="H1296" s="662" t="s">
        <v>376</v>
      </c>
      <c r="I1296" s="582" t="str">
        <f>VLOOKUP(H1296,'9a-Typen vloeren'!$A$10:$B$40,2,FALSE)</f>
        <v>Schrobben</v>
      </c>
      <c r="J1296" s="663">
        <v>9</v>
      </c>
      <c r="K1296" s="433">
        <f t="shared" si="103"/>
        <v>0</v>
      </c>
      <c r="L1296" s="433">
        <f t="shared" si="104"/>
        <v>9</v>
      </c>
      <c r="M1296" s="433">
        <f t="shared" si="105"/>
        <v>0</v>
      </c>
      <c r="N1296" s="672"/>
      <c r="O1296" s="729">
        <f>IF(N1296="",0,N1296*K1296/'9b-Vloeronderhoud'!$F$4)</f>
        <v>0</v>
      </c>
      <c r="P1296" s="672"/>
      <c r="Q1296" s="729" t="e">
        <f>IF(O1296="",0,P1296*L1296/'9b-Vloeronderhoud'!$F$6)</f>
        <v>#DIV/0!</v>
      </c>
      <c r="R1296" s="449">
        <v>1</v>
      </c>
      <c r="S1296" s="672" t="s">
        <v>179</v>
      </c>
      <c r="T1296" s="161">
        <f t="shared" si="106"/>
        <v>0</v>
      </c>
      <c r="U1296" s="162">
        <f>IF(S1296="nio",0,IF(S1296&gt;0,VLOOKUP(G1296,'3-Productie normen'!A:K,VLOOKUP(S1296,'3-Productie normen'!L:N,3,FALSE),FALSE)))</f>
        <v>0</v>
      </c>
      <c r="V1296" s="162">
        <f>VLOOKUP(G1296,'3-Productie normen'!A:K,10,FALSE)</f>
        <v>137.96000057220459</v>
      </c>
      <c r="W1296" s="163">
        <f>VLOOKUP(G1296,'3-Productie normen'!A:K,11,FALSE)</f>
        <v>0</v>
      </c>
      <c r="X1296" s="163"/>
      <c r="Z1296" s="129">
        <f t="shared" si="107"/>
        <v>0</v>
      </c>
    </row>
    <row r="1297" spans="1:26" ht="14.1" customHeight="1">
      <c r="A1297" s="144">
        <v>1335</v>
      </c>
      <c r="B1297" s="659" t="s">
        <v>1100</v>
      </c>
      <c r="C1297" s="659" t="s">
        <v>514</v>
      </c>
      <c r="D1297" s="666">
        <v>1</v>
      </c>
      <c r="E1297" s="716" t="s">
        <v>1063</v>
      </c>
      <c r="F1297" s="659" t="s">
        <v>577</v>
      </c>
      <c r="G1297" s="668" t="s">
        <v>548</v>
      </c>
      <c r="H1297" s="662" t="s">
        <v>376</v>
      </c>
      <c r="I1297" s="582" t="str">
        <f>VLOOKUP(H1297,'9a-Typen vloeren'!$A$10:$B$40,2,FALSE)</f>
        <v>Schrobben</v>
      </c>
      <c r="J1297" s="663">
        <v>122</v>
      </c>
      <c r="K1297" s="433">
        <f t="shared" si="103"/>
        <v>0</v>
      </c>
      <c r="L1297" s="433">
        <f t="shared" si="104"/>
        <v>122</v>
      </c>
      <c r="M1297" s="433">
        <f t="shared" si="105"/>
        <v>0</v>
      </c>
      <c r="N1297" s="672"/>
      <c r="O1297" s="729">
        <f>IF(N1297="",0,N1297*K1297/'9b-Vloeronderhoud'!$F$4)</f>
        <v>0</v>
      </c>
      <c r="P1297" s="672">
        <v>3</v>
      </c>
      <c r="Q1297" s="729" t="e">
        <f>IF(O1297="",0,P1297*L1297/'9b-Vloeronderhoud'!$F$6)</f>
        <v>#DIV/0!</v>
      </c>
      <c r="R1297" s="449">
        <v>1</v>
      </c>
      <c r="S1297" s="672">
        <v>80</v>
      </c>
      <c r="T1297" s="161" t="e">
        <f t="shared" si="106"/>
        <v>#DIV/0!</v>
      </c>
      <c r="U1297" s="162">
        <f>IF(S1297="nio",0,IF(S1297&gt;0,VLOOKUP(G1297,'3-Productie normen'!A:K,VLOOKUP(S1297,'3-Productie normen'!L:N,3,FALSE),FALSE)))</f>
        <v>0</v>
      </c>
      <c r="V1297" s="162">
        <f>VLOOKUP(G1297,'3-Productie normen'!A:K,10,FALSE)</f>
        <v>994.10000000000014</v>
      </c>
      <c r="W1297" s="163">
        <f>VLOOKUP(G1297,'3-Productie normen'!A:K,11,FALSE)</f>
        <v>0</v>
      </c>
      <c r="X1297" s="163"/>
      <c r="Z1297" s="129">
        <f t="shared" si="107"/>
        <v>9760</v>
      </c>
    </row>
    <row r="1298" spans="1:26" ht="14.1" customHeight="1">
      <c r="A1298" s="144">
        <v>1336</v>
      </c>
      <c r="B1298" s="659" t="s">
        <v>1100</v>
      </c>
      <c r="C1298" s="659" t="s">
        <v>514</v>
      </c>
      <c r="D1298" s="666">
        <v>1</v>
      </c>
      <c r="E1298" s="716" t="s">
        <v>1064</v>
      </c>
      <c r="F1298" s="659" t="s">
        <v>577</v>
      </c>
      <c r="G1298" s="668" t="s">
        <v>548</v>
      </c>
      <c r="H1298" s="662" t="s">
        <v>376</v>
      </c>
      <c r="I1298" s="582" t="str">
        <f>VLOOKUP(H1298,'9a-Typen vloeren'!$A$10:$B$40,2,FALSE)</f>
        <v>Schrobben</v>
      </c>
      <c r="J1298" s="663">
        <v>137</v>
      </c>
      <c r="K1298" s="433">
        <f t="shared" si="103"/>
        <v>0</v>
      </c>
      <c r="L1298" s="433">
        <f t="shared" si="104"/>
        <v>137</v>
      </c>
      <c r="M1298" s="433">
        <f t="shared" si="105"/>
        <v>0</v>
      </c>
      <c r="N1298" s="672"/>
      <c r="O1298" s="729">
        <f>IF(N1298="",0,N1298*K1298/'9b-Vloeronderhoud'!$F$4)</f>
        <v>0</v>
      </c>
      <c r="P1298" s="672">
        <v>3</v>
      </c>
      <c r="Q1298" s="729" t="e">
        <f>IF(O1298="",0,P1298*L1298/'9b-Vloeronderhoud'!$F$6)</f>
        <v>#DIV/0!</v>
      </c>
      <c r="R1298" s="449">
        <v>1</v>
      </c>
      <c r="S1298" s="672">
        <v>80</v>
      </c>
      <c r="T1298" s="161" t="e">
        <f t="shared" si="106"/>
        <v>#DIV/0!</v>
      </c>
      <c r="U1298" s="162">
        <f>IF(S1298="nio",0,IF(S1298&gt;0,VLOOKUP(G1298,'3-Productie normen'!A:K,VLOOKUP(S1298,'3-Productie normen'!L:N,3,FALSE),FALSE)))</f>
        <v>0</v>
      </c>
      <c r="V1298" s="162">
        <f>VLOOKUP(G1298,'3-Productie normen'!A:K,10,FALSE)</f>
        <v>994.10000000000014</v>
      </c>
      <c r="W1298" s="163">
        <f>VLOOKUP(G1298,'3-Productie normen'!A:K,11,FALSE)</f>
        <v>0</v>
      </c>
      <c r="X1298" s="163"/>
      <c r="Z1298" s="129">
        <f t="shared" si="107"/>
        <v>10960</v>
      </c>
    </row>
    <row r="1299" spans="1:26" ht="14.1" customHeight="1">
      <c r="A1299" s="144">
        <v>1337</v>
      </c>
      <c r="B1299" s="659" t="s">
        <v>1100</v>
      </c>
      <c r="C1299" s="659" t="s">
        <v>514</v>
      </c>
      <c r="D1299" s="666">
        <v>1</v>
      </c>
      <c r="E1299" s="716" t="s">
        <v>1065</v>
      </c>
      <c r="F1299" s="659" t="s">
        <v>1066</v>
      </c>
      <c r="G1299" s="658" t="s">
        <v>1</v>
      </c>
      <c r="H1299" s="662" t="s">
        <v>333</v>
      </c>
      <c r="I1299" s="582" t="str">
        <f>VLOOKUP(H1299,'9a-Typen vloeren'!$A$10:$B$40,2,FALSE)</f>
        <v>Schrobben</v>
      </c>
      <c r="J1299" s="663">
        <v>16</v>
      </c>
      <c r="K1299" s="433">
        <f t="shared" si="103"/>
        <v>0</v>
      </c>
      <c r="L1299" s="433">
        <f t="shared" si="104"/>
        <v>16</v>
      </c>
      <c r="M1299" s="433">
        <f t="shared" si="105"/>
        <v>0</v>
      </c>
      <c r="N1299" s="672"/>
      <c r="O1299" s="729">
        <f>IF(N1299="",0,N1299*K1299/'9b-Vloeronderhoud'!$F$4)</f>
        <v>0</v>
      </c>
      <c r="P1299" s="672"/>
      <c r="Q1299" s="729" t="e">
        <f>IF(O1299="",0,P1299*L1299/'9b-Vloeronderhoud'!$F$6)</f>
        <v>#DIV/0!</v>
      </c>
      <c r="R1299" s="449">
        <v>1</v>
      </c>
      <c r="S1299" s="672">
        <v>190</v>
      </c>
      <c r="T1299" s="161" t="e">
        <f t="shared" si="106"/>
        <v>#DIV/0!</v>
      </c>
      <c r="U1299" s="162">
        <f>IF(S1299="nio",0,IF(S1299&gt;0,VLOOKUP(G1299,'3-Productie normen'!A:K,VLOOKUP(S1299,'3-Productie normen'!L:N,3,FALSE),FALSE)))</f>
        <v>0</v>
      </c>
      <c r="V1299" s="162">
        <f>VLOOKUP(G1299,'3-Productie normen'!A:K,10,FALSE)</f>
        <v>128.4</v>
      </c>
      <c r="W1299" s="163">
        <f>VLOOKUP(G1299,'3-Productie normen'!A:K,11,FALSE)</f>
        <v>0</v>
      </c>
      <c r="X1299" s="163"/>
      <c r="Z1299" s="129">
        <f t="shared" si="107"/>
        <v>3040</v>
      </c>
    </row>
    <row r="1300" spans="1:26" ht="14.1" customHeight="1">
      <c r="A1300" s="144">
        <v>1338</v>
      </c>
      <c r="B1300" s="659" t="s">
        <v>1100</v>
      </c>
      <c r="C1300" s="659" t="s">
        <v>514</v>
      </c>
      <c r="D1300" s="666">
        <v>1</v>
      </c>
      <c r="E1300" s="716" t="s">
        <v>1067</v>
      </c>
      <c r="F1300" s="659" t="s">
        <v>1066</v>
      </c>
      <c r="G1300" s="658" t="s">
        <v>1</v>
      </c>
      <c r="H1300" s="662" t="s">
        <v>333</v>
      </c>
      <c r="I1300" s="582" t="str">
        <f>VLOOKUP(H1300,'9a-Typen vloeren'!$A$10:$B$40,2,FALSE)</f>
        <v>Schrobben</v>
      </c>
      <c r="J1300" s="663">
        <v>18</v>
      </c>
      <c r="K1300" s="433">
        <f t="shared" si="103"/>
        <v>0</v>
      </c>
      <c r="L1300" s="433">
        <f t="shared" si="104"/>
        <v>18</v>
      </c>
      <c r="M1300" s="433">
        <f t="shared" si="105"/>
        <v>0</v>
      </c>
      <c r="N1300" s="672"/>
      <c r="O1300" s="729">
        <f>IF(N1300="",0,N1300*K1300/'9b-Vloeronderhoud'!$F$4)</f>
        <v>0</v>
      </c>
      <c r="P1300" s="672"/>
      <c r="Q1300" s="729" t="e">
        <f>IF(O1300="",0,P1300*L1300/'9b-Vloeronderhoud'!$F$6)</f>
        <v>#DIV/0!</v>
      </c>
      <c r="R1300" s="449">
        <v>1</v>
      </c>
      <c r="S1300" s="672">
        <v>190</v>
      </c>
      <c r="T1300" s="161" t="e">
        <f t="shared" si="106"/>
        <v>#DIV/0!</v>
      </c>
      <c r="U1300" s="162">
        <f>IF(S1300="nio",0,IF(S1300&gt;0,VLOOKUP(G1300,'3-Productie normen'!A:K,VLOOKUP(S1300,'3-Productie normen'!L:N,3,FALSE),FALSE)))</f>
        <v>0</v>
      </c>
      <c r="V1300" s="162">
        <f>VLOOKUP(G1300,'3-Productie normen'!A:K,10,FALSE)</f>
        <v>128.4</v>
      </c>
      <c r="W1300" s="163">
        <f>VLOOKUP(G1300,'3-Productie normen'!A:K,11,FALSE)</f>
        <v>0</v>
      </c>
      <c r="X1300" s="163"/>
      <c r="Z1300" s="129">
        <f t="shared" si="107"/>
        <v>3420</v>
      </c>
    </row>
    <row r="1301" spans="1:26" ht="14.1" customHeight="1">
      <c r="A1301" s="144">
        <v>1339</v>
      </c>
      <c r="B1301" s="659" t="s">
        <v>1100</v>
      </c>
      <c r="C1301" s="659" t="s">
        <v>514</v>
      </c>
      <c r="D1301" s="666">
        <v>1</v>
      </c>
      <c r="E1301" s="716" t="s">
        <v>1068</v>
      </c>
      <c r="F1301" s="659" t="s">
        <v>1069</v>
      </c>
      <c r="G1301" s="658" t="s">
        <v>18</v>
      </c>
      <c r="H1301" s="662" t="s">
        <v>333</v>
      </c>
      <c r="I1301" s="582" t="str">
        <f>VLOOKUP(H1301,'9a-Typen vloeren'!$A$10:$B$40,2,FALSE)</f>
        <v>Schrobben</v>
      </c>
      <c r="J1301" s="663">
        <v>8.5</v>
      </c>
      <c r="K1301" s="433">
        <f t="shared" si="103"/>
        <v>0</v>
      </c>
      <c r="L1301" s="433">
        <f t="shared" si="104"/>
        <v>8.5</v>
      </c>
      <c r="M1301" s="433">
        <f t="shared" si="105"/>
        <v>0</v>
      </c>
      <c r="N1301" s="672"/>
      <c r="O1301" s="729">
        <f>IF(N1301="",0,N1301*K1301/'9b-Vloeronderhoud'!$F$4)</f>
        <v>0</v>
      </c>
      <c r="P1301" s="672"/>
      <c r="Q1301" s="729" t="e">
        <f>IF(O1301="",0,P1301*L1301/'9b-Vloeronderhoud'!$F$6)</f>
        <v>#DIV/0!</v>
      </c>
      <c r="R1301" s="449">
        <v>1</v>
      </c>
      <c r="S1301" s="672">
        <v>190</v>
      </c>
      <c r="T1301" s="161" t="e">
        <f t="shared" si="106"/>
        <v>#DIV/0!</v>
      </c>
      <c r="U1301" s="162">
        <f>IF(S1301="nio",0,IF(S1301&gt;0,VLOOKUP(G1301,'3-Productie normen'!A:K,VLOOKUP(S1301,'3-Productie normen'!L:N,3,FALSE),FALSE)))</f>
        <v>0</v>
      </c>
      <c r="V1301" s="162">
        <f>VLOOKUP(G1301,'3-Productie normen'!A:K,10,FALSE)</f>
        <v>1859.5880019121171</v>
      </c>
      <c r="W1301" s="163">
        <f>VLOOKUP(G1301,'3-Productie normen'!A:K,11,FALSE)</f>
        <v>0</v>
      </c>
      <c r="X1301" s="163"/>
      <c r="Z1301" s="129">
        <f t="shared" si="107"/>
        <v>1615</v>
      </c>
    </row>
    <row r="1302" spans="1:26" ht="14.1" customHeight="1">
      <c r="A1302" s="144">
        <v>1340</v>
      </c>
      <c r="B1302" s="659" t="s">
        <v>1100</v>
      </c>
      <c r="C1302" s="659" t="s">
        <v>514</v>
      </c>
      <c r="D1302" s="666">
        <v>1</v>
      </c>
      <c r="E1302" s="716" t="s">
        <v>1070</v>
      </c>
      <c r="F1302" s="659" t="s">
        <v>1069</v>
      </c>
      <c r="G1302" s="658" t="s">
        <v>18</v>
      </c>
      <c r="H1302" s="662" t="s">
        <v>333</v>
      </c>
      <c r="I1302" s="582" t="str">
        <f>VLOOKUP(H1302,'9a-Typen vloeren'!$A$10:$B$40,2,FALSE)</f>
        <v>Schrobben</v>
      </c>
      <c r="J1302" s="663">
        <v>8.5</v>
      </c>
      <c r="K1302" s="433">
        <f t="shared" si="103"/>
        <v>0</v>
      </c>
      <c r="L1302" s="433">
        <f t="shared" si="104"/>
        <v>8.5</v>
      </c>
      <c r="M1302" s="433">
        <f t="shared" si="105"/>
        <v>0</v>
      </c>
      <c r="N1302" s="672"/>
      <c r="O1302" s="729">
        <f>IF(N1302="",0,N1302*K1302/'9b-Vloeronderhoud'!$F$4)</f>
        <v>0</v>
      </c>
      <c r="P1302" s="672"/>
      <c r="Q1302" s="729" t="e">
        <f>IF(O1302="",0,P1302*L1302/'9b-Vloeronderhoud'!$F$6)</f>
        <v>#DIV/0!</v>
      </c>
      <c r="R1302" s="449">
        <v>1</v>
      </c>
      <c r="S1302" s="672">
        <v>190</v>
      </c>
      <c r="T1302" s="161" t="e">
        <f t="shared" si="106"/>
        <v>#DIV/0!</v>
      </c>
      <c r="U1302" s="162">
        <f>IF(S1302="nio",0,IF(S1302&gt;0,VLOOKUP(G1302,'3-Productie normen'!A:K,VLOOKUP(S1302,'3-Productie normen'!L:N,3,FALSE),FALSE)))</f>
        <v>0</v>
      </c>
      <c r="V1302" s="162">
        <f>VLOOKUP(G1302,'3-Productie normen'!A:K,10,FALSE)</f>
        <v>1859.5880019121171</v>
      </c>
      <c r="W1302" s="163">
        <f>VLOOKUP(G1302,'3-Productie normen'!A:K,11,FALSE)</f>
        <v>0</v>
      </c>
      <c r="X1302" s="163"/>
      <c r="Z1302" s="129">
        <f t="shared" si="107"/>
        <v>1615</v>
      </c>
    </row>
    <row r="1303" spans="1:26" ht="14.1" customHeight="1">
      <c r="A1303" s="144">
        <v>1341</v>
      </c>
      <c r="B1303" s="659" t="s">
        <v>1100</v>
      </c>
      <c r="C1303" s="659" t="s">
        <v>514</v>
      </c>
      <c r="D1303" s="666">
        <v>1</v>
      </c>
      <c r="E1303" s="716" t="s">
        <v>1071</v>
      </c>
      <c r="F1303" s="659" t="s">
        <v>302</v>
      </c>
      <c r="G1303" s="658" t="s">
        <v>18</v>
      </c>
      <c r="H1303" s="662" t="s">
        <v>333</v>
      </c>
      <c r="I1303" s="582" t="str">
        <f>VLOOKUP(H1303,'9a-Typen vloeren'!$A$10:$B$40,2,FALSE)</f>
        <v>Schrobben</v>
      </c>
      <c r="J1303" s="663">
        <v>1.2</v>
      </c>
      <c r="K1303" s="433">
        <f t="shared" si="103"/>
        <v>0</v>
      </c>
      <c r="L1303" s="433">
        <f t="shared" si="104"/>
        <v>1.2</v>
      </c>
      <c r="M1303" s="433">
        <f t="shared" si="105"/>
        <v>0</v>
      </c>
      <c r="N1303" s="672"/>
      <c r="O1303" s="729">
        <f>IF(N1303="",0,N1303*K1303/'9b-Vloeronderhoud'!$F$4)</f>
        <v>0</v>
      </c>
      <c r="P1303" s="672"/>
      <c r="Q1303" s="729" t="e">
        <f>IF(O1303="",0,P1303*L1303/'9b-Vloeronderhoud'!$F$6)</f>
        <v>#DIV/0!</v>
      </c>
      <c r="R1303" s="449">
        <v>1</v>
      </c>
      <c r="S1303" s="672">
        <v>190</v>
      </c>
      <c r="T1303" s="161" t="e">
        <f t="shared" si="106"/>
        <v>#DIV/0!</v>
      </c>
      <c r="U1303" s="162">
        <f>IF(S1303="nio",0,IF(S1303&gt;0,VLOOKUP(G1303,'3-Productie normen'!A:K,VLOOKUP(S1303,'3-Productie normen'!L:N,3,FALSE),FALSE)))</f>
        <v>0</v>
      </c>
      <c r="V1303" s="162">
        <f>VLOOKUP(G1303,'3-Productie normen'!A:K,10,FALSE)</f>
        <v>1859.5880019121171</v>
      </c>
      <c r="W1303" s="163">
        <f>VLOOKUP(G1303,'3-Productie normen'!A:K,11,FALSE)</f>
        <v>0</v>
      </c>
      <c r="X1303" s="163"/>
      <c r="Z1303" s="129">
        <f t="shared" si="107"/>
        <v>228</v>
      </c>
    </row>
    <row r="1304" spans="1:26" ht="14.1" customHeight="1">
      <c r="A1304" s="144">
        <v>1342</v>
      </c>
      <c r="B1304" s="659" t="s">
        <v>1100</v>
      </c>
      <c r="C1304" s="659" t="s">
        <v>514</v>
      </c>
      <c r="D1304" s="666">
        <v>1</v>
      </c>
      <c r="E1304" s="716" t="s">
        <v>1072</v>
      </c>
      <c r="F1304" s="659" t="s">
        <v>302</v>
      </c>
      <c r="G1304" s="658" t="s">
        <v>18</v>
      </c>
      <c r="H1304" s="662" t="s">
        <v>333</v>
      </c>
      <c r="I1304" s="582" t="str">
        <f>VLOOKUP(H1304,'9a-Typen vloeren'!$A$10:$B$40,2,FALSE)</f>
        <v>Schrobben</v>
      </c>
      <c r="J1304" s="663">
        <v>1.2</v>
      </c>
      <c r="K1304" s="433">
        <f t="shared" si="103"/>
        <v>0</v>
      </c>
      <c r="L1304" s="433">
        <f t="shared" si="104"/>
        <v>1.2</v>
      </c>
      <c r="M1304" s="433">
        <f t="shared" si="105"/>
        <v>0</v>
      </c>
      <c r="N1304" s="672"/>
      <c r="O1304" s="729">
        <f>IF(N1304="",0,N1304*K1304/'9b-Vloeronderhoud'!$F$4)</f>
        <v>0</v>
      </c>
      <c r="P1304" s="672"/>
      <c r="Q1304" s="729" t="e">
        <f>IF(O1304="",0,P1304*L1304/'9b-Vloeronderhoud'!$F$6)</f>
        <v>#DIV/0!</v>
      </c>
      <c r="R1304" s="449">
        <v>1</v>
      </c>
      <c r="S1304" s="672">
        <v>190</v>
      </c>
      <c r="T1304" s="161" t="e">
        <f t="shared" si="106"/>
        <v>#DIV/0!</v>
      </c>
      <c r="U1304" s="162">
        <f>IF(S1304="nio",0,IF(S1304&gt;0,VLOOKUP(G1304,'3-Productie normen'!A:K,VLOOKUP(S1304,'3-Productie normen'!L:N,3,FALSE),FALSE)))</f>
        <v>0</v>
      </c>
      <c r="V1304" s="162">
        <f>VLOOKUP(G1304,'3-Productie normen'!A:K,10,FALSE)</f>
        <v>1859.5880019121171</v>
      </c>
      <c r="W1304" s="163">
        <f>VLOOKUP(G1304,'3-Productie normen'!A:K,11,FALSE)</f>
        <v>0</v>
      </c>
      <c r="X1304" s="163"/>
      <c r="Z1304" s="129">
        <f t="shared" si="107"/>
        <v>228</v>
      </c>
    </row>
    <row r="1305" spans="1:26" ht="14.1" customHeight="1">
      <c r="A1305" s="144">
        <v>1343</v>
      </c>
      <c r="B1305" s="659" t="s">
        <v>1100</v>
      </c>
      <c r="C1305" s="659" t="s">
        <v>514</v>
      </c>
      <c r="D1305" s="666">
        <v>1</v>
      </c>
      <c r="E1305" s="716" t="s">
        <v>1073</v>
      </c>
      <c r="F1305" s="659" t="s">
        <v>451</v>
      </c>
      <c r="G1305" s="658" t="s">
        <v>882</v>
      </c>
      <c r="H1305" s="662" t="s">
        <v>333</v>
      </c>
      <c r="I1305" s="582" t="str">
        <f>VLOOKUP(H1305,'9a-Typen vloeren'!$A$10:$B$40,2,FALSE)</f>
        <v>Schrobben</v>
      </c>
      <c r="J1305" s="663">
        <v>1.2</v>
      </c>
      <c r="K1305" s="433">
        <f t="shared" si="103"/>
        <v>0</v>
      </c>
      <c r="L1305" s="433">
        <f t="shared" si="104"/>
        <v>1.2</v>
      </c>
      <c r="M1305" s="433">
        <f t="shared" si="105"/>
        <v>0</v>
      </c>
      <c r="N1305" s="672"/>
      <c r="O1305" s="729">
        <f>IF(N1305="",0,N1305*K1305/'9b-Vloeronderhoud'!$F$4)</f>
        <v>0</v>
      </c>
      <c r="P1305" s="672"/>
      <c r="Q1305" s="729" t="e">
        <f>IF(O1305="",0,P1305*L1305/'9b-Vloeronderhoud'!$F$6)</f>
        <v>#DIV/0!</v>
      </c>
      <c r="R1305" s="449">
        <v>1</v>
      </c>
      <c r="S1305" s="676" t="s">
        <v>179</v>
      </c>
      <c r="T1305" s="161">
        <f t="shared" si="106"/>
        <v>0</v>
      </c>
      <c r="U1305" s="162">
        <f>IF(S1305="nio",0,IF(S1305&gt;0,VLOOKUP(G1305,'3-Productie normen'!A:K,VLOOKUP(S1305,'3-Productie normen'!L:N,3,FALSE),FALSE)))</f>
        <v>0</v>
      </c>
      <c r="V1305" s="162">
        <f>VLOOKUP(G1305,'3-Productie normen'!A:K,10,FALSE)</f>
        <v>2.4</v>
      </c>
      <c r="W1305" s="163">
        <f>VLOOKUP(G1305,'3-Productie normen'!A:K,11,FALSE)</f>
        <v>0</v>
      </c>
      <c r="X1305" s="163"/>
      <c r="Z1305" s="129">
        <f t="shared" si="107"/>
        <v>0</v>
      </c>
    </row>
    <row r="1306" spans="1:26" ht="14.1" customHeight="1">
      <c r="A1306" s="144">
        <v>1344</v>
      </c>
      <c r="B1306" s="659" t="s">
        <v>1100</v>
      </c>
      <c r="C1306" s="659" t="s">
        <v>514</v>
      </c>
      <c r="D1306" s="666">
        <v>1</v>
      </c>
      <c r="E1306" s="716" t="s">
        <v>1074</v>
      </c>
      <c r="F1306" s="659" t="s">
        <v>451</v>
      </c>
      <c r="G1306" s="658" t="s">
        <v>882</v>
      </c>
      <c r="H1306" s="662" t="s">
        <v>333</v>
      </c>
      <c r="I1306" s="582" t="str">
        <f>VLOOKUP(H1306,'9a-Typen vloeren'!$A$10:$B$40,2,FALSE)</f>
        <v>Schrobben</v>
      </c>
      <c r="J1306" s="663">
        <v>1.2</v>
      </c>
      <c r="K1306" s="433">
        <f t="shared" si="103"/>
        <v>0</v>
      </c>
      <c r="L1306" s="433">
        <f t="shared" si="104"/>
        <v>1.2</v>
      </c>
      <c r="M1306" s="433">
        <f t="shared" si="105"/>
        <v>0</v>
      </c>
      <c r="N1306" s="672"/>
      <c r="O1306" s="729">
        <f>IF(N1306="",0,N1306*K1306/'9b-Vloeronderhoud'!$F$4)</f>
        <v>0</v>
      </c>
      <c r="P1306" s="672"/>
      <c r="Q1306" s="729" t="e">
        <f>IF(O1306="",0,P1306*L1306/'9b-Vloeronderhoud'!$F$6)</f>
        <v>#DIV/0!</v>
      </c>
      <c r="R1306" s="449">
        <v>1</v>
      </c>
      <c r="S1306" s="676" t="s">
        <v>179</v>
      </c>
      <c r="T1306" s="161">
        <f t="shared" si="106"/>
        <v>0</v>
      </c>
      <c r="U1306" s="162">
        <f>IF(S1306="nio",0,IF(S1306&gt;0,VLOOKUP(G1306,'3-Productie normen'!A:K,VLOOKUP(S1306,'3-Productie normen'!L:N,3,FALSE),FALSE)))</f>
        <v>0</v>
      </c>
      <c r="V1306" s="162">
        <f>VLOOKUP(G1306,'3-Productie normen'!A:K,10,FALSE)</f>
        <v>2.4</v>
      </c>
      <c r="W1306" s="163">
        <f>VLOOKUP(G1306,'3-Productie normen'!A:K,11,FALSE)</f>
        <v>0</v>
      </c>
      <c r="X1306" s="163"/>
      <c r="Z1306" s="129">
        <f t="shared" si="107"/>
        <v>0</v>
      </c>
    </row>
    <row r="1307" spans="1:26" ht="14.1" customHeight="1">
      <c r="A1307" s="144">
        <v>1345</v>
      </c>
      <c r="B1307" s="659" t="s">
        <v>566</v>
      </c>
      <c r="C1307" s="659" t="s">
        <v>514</v>
      </c>
      <c r="D1307" s="666" t="s">
        <v>1075</v>
      </c>
      <c r="E1307" s="716" t="s">
        <v>1076</v>
      </c>
      <c r="F1307" s="659" t="s">
        <v>1077</v>
      </c>
      <c r="G1307" s="658" t="s">
        <v>221</v>
      </c>
      <c r="H1307" s="662" t="s">
        <v>100</v>
      </c>
      <c r="I1307" s="582" t="str">
        <f>VLOOKUP(H1307,'9a-Typen vloeren'!$A$10:$B$40,2,FALSE)</f>
        <v>Sprayen/ conserveren</v>
      </c>
      <c r="J1307" s="663">
        <v>56</v>
      </c>
      <c r="K1307" s="433">
        <f t="shared" si="103"/>
        <v>56</v>
      </c>
      <c r="L1307" s="433">
        <f t="shared" si="104"/>
        <v>0</v>
      </c>
      <c r="M1307" s="433">
        <f t="shared" si="105"/>
        <v>0</v>
      </c>
      <c r="N1307" s="672"/>
      <c r="O1307" s="729">
        <f>IF(N1307="",0,N1307*K1307/'9b-Vloeronderhoud'!$F$4)</f>
        <v>0</v>
      </c>
      <c r="P1307" s="672"/>
      <c r="Q1307" s="729" t="e">
        <f>IF(O1307="",0,P1307*L1307/'9b-Vloeronderhoud'!$F$6)</f>
        <v>#DIV/0!</v>
      </c>
      <c r="R1307" s="449">
        <v>1</v>
      </c>
      <c r="S1307" s="688" t="s">
        <v>179</v>
      </c>
      <c r="T1307" s="161">
        <f t="shared" si="106"/>
        <v>0</v>
      </c>
      <c r="U1307" s="162">
        <f>IF(S1307="nio",0,IF(S1307&gt;0,VLOOKUP(G1307,'3-Productie normen'!A:K,VLOOKUP(S1307,'3-Productie normen'!L:N,3,FALSE),FALSE)))</f>
        <v>0</v>
      </c>
      <c r="V1307" s="162">
        <f>VLOOKUP(G1307,'3-Productie normen'!A:K,10,FALSE)</f>
        <v>16013.110036668773</v>
      </c>
      <c r="W1307" s="163">
        <f>VLOOKUP(G1307,'3-Productie normen'!A:K,11,FALSE)</f>
        <v>0</v>
      </c>
      <c r="X1307" s="163"/>
      <c r="Z1307" s="129">
        <f t="shared" si="107"/>
        <v>0</v>
      </c>
    </row>
    <row r="1308" spans="1:26" ht="14.1" customHeight="1">
      <c r="A1308" s="144">
        <v>1346</v>
      </c>
      <c r="B1308" s="659" t="s">
        <v>566</v>
      </c>
      <c r="C1308" s="659" t="s">
        <v>514</v>
      </c>
      <c r="D1308" s="666" t="s">
        <v>1075</v>
      </c>
      <c r="E1308" s="716" t="s">
        <v>1078</v>
      </c>
      <c r="F1308" s="659" t="s">
        <v>1077</v>
      </c>
      <c r="G1308" s="658" t="s">
        <v>221</v>
      </c>
      <c r="H1308" s="662" t="s">
        <v>100</v>
      </c>
      <c r="I1308" s="582" t="str">
        <f>VLOOKUP(H1308,'9a-Typen vloeren'!$A$10:$B$40,2,FALSE)</f>
        <v>Sprayen/ conserveren</v>
      </c>
      <c r="J1308" s="663">
        <v>73</v>
      </c>
      <c r="K1308" s="433">
        <f t="shared" si="103"/>
        <v>73</v>
      </c>
      <c r="L1308" s="433">
        <f t="shared" si="104"/>
        <v>0</v>
      </c>
      <c r="M1308" s="433">
        <f t="shared" si="105"/>
        <v>0</v>
      </c>
      <c r="N1308" s="672"/>
      <c r="O1308" s="729">
        <f>IF(N1308="",0,N1308*K1308/'9b-Vloeronderhoud'!$F$4)</f>
        <v>0</v>
      </c>
      <c r="P1308" s="672"/>
      <c r="Q1308" s="729" t="e">
        <f>IF(O1308="",0,P1308*L1308/'9b-Vloeronderhoud'!$F$6)</f>
        <v>#DIV/0!</v>
      </c>
      <c r="R1308" s="449">
        <v>1</v>
      </c>
      <c r="S1308" s="688" t="s">
        <v>179</v>
      </c>
      <c r="T1308" s="161">
        <f t="shared" si="106"/>
        <v>0</v>
      </c>
      <c r="U1308" s="162">
        <f>IF(S1308="nio",0,IF(S1308&gt;0,VLOOKUP(G1308,'3-Productie normen'!A:K,VLOOKUP(S1308,'3-Productie normen'!L:N,3,FALSE),FALSE)))</f>
        <v>0</v>
      </c>
      <c r="V1308" s="162">
        <f>VLOOKUP(G1308,'3-Productie normen'!A:K,10,FALSE)</f>
        <v>16013.110036668773</v>
      </c>
      <c r="W1308" s="163">
        <f>VLOOKUP(G1308,'3-Productie normen'!A:K,11,FALSE)</f>
        <v>0</v>
      </c>
      <c r="X1308" s="163"/>
      <c r="Z1308" s="129">
        <f t="shared" si="107"/>
        <v>0</v>
      </c>
    </row>
    <row r="1309" spans="1:26" ht="14.1" customHeight="1">
      <c r="A1309" s="144">
        <v>1347</v>
      </c>
      <c r="B1309" s="659" t="s">
        <v>566</v>
      </c>
      <c r="C1309" s="659" t="s">
        <v>514</v>
      </c>
      <c r="D1309" s="666" t="s">
        <v>1075</v>
      </c>
      <c r="E1309" s="716" t="s">
        <v>1079</v>
      </c>
      <c r="F1309" s="659" t="s">
        <v>1077</v>
      </c>
      <c r="G1309" s="658" t="s">
        <v>221</v>
      </c>
      <c r="H1309" s="662" t="s">
        <v>100</v>
      </c>
      <c r="I1309" s="582" t="str">
        <f>VLOOKUP(H1309,'9a-Typen vloeren'!$A$10:$B$40,2,FALSE)</f>
        <v>Sprayen/ conserveren</v>
      </c>
      <c r="J1309" s="663">
        <v>56</v>
      </c>
      <c r="K1309" s="433">
        <f t="shared" si="103"/>
        <v>56</v>
      </c>
      <c r="L1309" s="433">
        <f t="shared" si="104"/>
        <v>0</v>
      </c>
      <c r="M1309" s="433">
        <f t="shared" si="105"/>
        <v>0</v>
      </c>
      <c r="N1309" s="672"/>
      <c r="O1309" s="729">
        <f>IF(N1309="",0,N1309*K1309/'9b-Vloeronderhoud'!$F$4)</f>
        <v>0</v>
      </c>
      <c r="P1309" s="672"/>
      <c r="Q1309" s="729" t="e">
        <f>IF(O1309="",0,P1309*L1309/'9b-Vloeronderhoud'!$F$6)</f>
        <v>#DIV/0!</v>
      </c>
      <c r="R1309" s="449">
        <v>1</v>
      </c>
      <c r="S1309" s="688" t="s">
        <v>179</v>
      </c>
      <c r="T1309" s="161">
        <f t="shared" si="106"/>
        <v>0</v>
      </c>
      <c r="U1309" s="162">
        <f>IF(S1309="nio",0,IF(S1309&gt;0,VLOOKUP(G1309,'3-Productie normen'!A:K,VLOOKUP(S1309,'3-Productie normen'!L:N,3,FALSE),FALSE)))</f>
        <v>0</v>
      </c>
      <c r="V1309" s="162">
        <f>VLOOKUP(G1309,'3-Productie normen'!A:K,10,FALSE)</f>
        <v>16013.110036668773</v>
      </c>
      <c r="W1309" s="163">
        <f>VLOOKUP(G1309,'3-Productie normen'!A:K,11,FALSE)</f>
        <v>0</v>
      </c>
      <c r="X1309" s="163"/>
      <c r="Z1309" s="129">
        <f t="shared" si="107"/>
        <v>0</v>
      </c>
    </row>
    <row r="1310" spans="1:26" ht="14.1" customHeight="1">
      <c r="A1310" s="144">
        <v>1348</v>
      </c>
      <c r="B1310" s="659" t="s">
        <v>566</v>
      </c>
      <c r="C1310" s="659" t="s">
        <v>514</v>
      </c>
      <c r="D1310" s="666" t="s">
        <v>1075</v>
      </c>
      <c r="E1310" s="716" t="s">
        <v>1080</v>
      </c>
      <c r="F1310" s="659" t="s">
        <v>517</v>
      </c>
      <c r="G1310" s="658" t="s">
        <v>280</v>
      </c>
      <c r="H1310" s="662" t="s">
        <v>100</v>
      </c>
      <c r="I1310" s="582" t="str">
        <f>VLOOKUP(H1310,'9a-Typen vloeren'!$A$10:$B$40,2,FALSE)</f>
        <v>Sprayen/ conserveren</v>
      </c>
      <c r="J1310" s="663">
        <v>6.5</v>
      </c>
      <c r="K1310" s="433">
        <f t="shared" si="103"/>
        <v>6.5</v>
      </c>
      <c r="L1310" s="433">
        <f t="shared" si="104"/>
        <v>0</v>
      </c>
      <c r="M1310" s="433">
        <f t="shared" si="105"/>
        <v>0</v>
      </c>
      <c r="N1310" s="672"/>
      <c r="O1310" s="729">
        <f>IF(N1310="",0,N1310*K1310/'9b-Vloeronderhoud'!$F$4)</f>
        <v>0</v>
      </c>
      <c r="P1310" s="672"/>
      <c r="Q1310" s="729" t="e">
        <f>IF(O1310="",0,P1310*L1310/'9b-Vloeronderhoud'!$F$6)</f>
        <v>#DIV/0!</v>
      </c>
      <c r="R1310" s="449">
        <v>1</v>
      </c>
      <c r="S1310" s="679">
        <v>190</v>
      </c>
      <c r="T1310" s="161" t="e">
        <f t="shared" si="106"/>
        <v>#DIV/0!</v>
      </c>
      <c r="U1310" s="162">
        <f>IF(S1310="nio",0,IF(S1310&gt;0,VLOOKUP(G1310,'3-Productie normen'!A:K,VLOOKUP(S1310,'3-Productie normen'!L:N,3,FALSE),FALSE)))</f>
        <v>0</v>
      </c>
      <c r="V1310" s="162">
        <f>VLOOKUP(G1310,'3-Productie normen'!A:K,10,FALSE)</f>
        <v>67.100000381469727</v>
      </c>
      <c r="W1310" s="163">
        <f>VLOOKUP(G1310,'3-Productie normen'!A:K,11,FALSE)</f>
        <v>0</v>
      </c>
      <c r="X1310" s="163"/>
      <c r="Z1310" s="129">
        <f t="shared" si="107"/>
        <v>1235</v>
      </c>
    </row>
    <row r="1311" spans="1:26" ht="14.1" customHeight="1">
      <c r="A1311" s="144">
        <v>1349</v>
      </c>
      <c r="B1311" s="659" t="s">
        <v>566</v>
      </c>
      <c r="C1311" s="659" t="s">
        <v>514</v>
      </c>
      <c r="D1311" s="666" t="s">
        <v>1075</v>
      </c>
      <c r="E1311" s="716" t="s">
        <v>1081</v>
      </c>
      <c r="F1311" s="659" t="s">
        <v>517</v>
      </c>
      <c r="G1311" s="658" t="s">
        <v>280</v>
      </c>
      <c r="H1311" s="662" t="s">
        <v>100</v>
      </c>
      <c r="I1311" s="582" t="str">
        <f>VLOOKUP(H1311,'9a-Typen vloeren'!$A$10:$B$40,2,FALSE)</f>
        <v>Sprayen/ conserveren</v>
      </c>
      <c r="J1311" s="663">
        <v>6.5</v>
      </c>
      <c r="K1311" s="433">
        <f t="shared" si="103"/>
        <v>6.5</v>
      </c>
      <c r="L1311" s="433">
        <f t="shared" si="104"/>
        <v>0</v>
      </c>
      <c r="M1311" s="433">
        <f t="shared" si="105"/>
        <v>0</v>
      </c>
      <c r="N1311" s="672"/>
      <c r="O1311" s="729">
        <f>IF(N1311="",0,N1311*K1311/'9b-Vloeronderhoud'!$F$4)</f>
        <v>0</v>
      </c>
      <c r="P1311" s="672"/>
      <c r="Q1311" s="729" t="e">
        <f>IF(O1311="",0,P1311*L1311/'9b-Vloeronderhoud'!$F$6)</f>
        <v>#DIV/0!</v>
      </c>
      <c r="R1311" s="449">
        <v>1</v>
      </c>
      <c r="S1311" s="679">
        <v>190</v>
      </c>
      <c r="T1311" s="161" t="e">
        <f t="shared" si="106"/>
        <v>#DIV/0!</v>
      </c>
      <c r="U1311" s="162">
        <f>IF(S1311="nio",0,IF(S1311&gt;0,VLOOKUP(G1311,'3-Productie normen'!A:K,VLOOKUP(S1311,'3-Productie normen'!L:N,3,FALSE),FALSE)))</f>
        <v>0</v>
      </c>
      <c r="V1311" s="162">
        <f>VLOOKUP(G1311,'3-Productie normen'!A:K,10,FALSE)</f>
        <v>67.100000381469727</v>
      </c>
      <c r="W1311" s="163">
        <f>VLOOKUP(G1311,'3-Productie normen'!A:K,11,FALSE)</f>
        <v>0</v>
      </c>
      <c r="X1311" s="163"/>
      <c r="Z1311" s="129">
        <f t="shared" si="107"/>
        <v>1235</v>
      </c>
    </row>
    <row r="1312" spans="1:26" ht="14.1" customHeight="1">
      <c r="A1312" s="144">
        <v>1350</v>
      </c>
      <c r="B1312" s="659" t="s">
        <v>566</v>
      </c>
      <c r="C1312" s="659" t="s">
        <v>514</v>
      </c>
      <c r="D1312" s="666" t="s">
        <v>1075</v>
      </c>
      <c r="E1312" s="716" t="s">
        <v>1082</v>
      </c>
      <c r="F1312" s="659" t="s">
        <v>517</v>
      </c>
      <c r="G1312" s="658" t="s">
        <v>280</v>
      </c>
      <c r="H1312" s="662" t="s">
        <v>100</v>
      </c>
      <c r="I1312" s="582" t="str">
        <f>VLOOKUP(H1312,'9a-Typen vloeren'!$A$10:$B$40,2,FALSE)</f>
        <v>Sprayen/ conserveren</v>
      </c>
      <c r="J1312" s="663">
        <v>6.5</v>
      </c>
      <c r="K1312" s="433">
        <f t="shared" si="103"/>
        <v>6.5</v>
      </c>
      <c r="L1312" s="433">
        <f t="shared" si="104"/>
        <v>0</v>
      </c>
      <c r="M1312" s="433">
        <f t="shared" si="105"/>
        <v>0</v>
      </c>
      <c r="N1312" s="672"/>
      <c r="O1312" s="729">
        <f>IF(N1312="",0,N1312*K1312/'9b-Vloeronderhoud'!$F$4)</f>
        <v>0</v>
      </c>
      <c r="P1312" s="672"/>
      <c r="Q1312" s="729" t="e">
        <f>IF(O1312="",0,P1312*L1312/'9b-Vloeronderhoud'!$F$6)</f>
        <v>#DIV/0!</v>
      </c>
      <c r="R1312" s="449">
        <v>1</v>
      </c>
      <c r="S1312" s="679">
        <v>190</v>
      </c>
      <c r="T1312" s="161" t="e">
        <f t="shared" si="106"/>
        <v>#DIV/0!</v>
      </c>
      <c r="U1312" s="162">
        <f>IF(S1312="nio",0,IF(S1312&gt;0,VLOOKUP(G1312,'3-Productie normen'!A:K,VLOOKUP(S1312,'3-Productie normen'!L:N,3,FALSE),FALSE)))</f>
        <v>0</v>
      </c>
      <c r="V1312" s="162">
        <f>VLOOKUP(G1312,'3-Productie normen'!A:K,10,FALSE)</f>
        <v>67.100000381469727</v>
      </c>
      <c r="W1312" s="163">
        <f>VLOOKUP(G1312,'3-Productie normen'!A:K,11,FALSE)</f>
        <v>0</v>
      </c>
      <c r="X1312" s="163"/>
      <c r="Z1312" s="129">
        <f t="shared" si="107"/>
        <v>1235</v>
      </c>
    </row>
    <row r="1313" spans="1:26" ht="14.1" customHeight="1">
      <c r="A1313" s="144">
        <v>1351</v>
      </c>
      <c r="B1313" s="659" t="s">
        <v>566</v>
      </c>
      <c r="C1313" s="659" t="s">
        <v>514</v>
      </c>
      <c r="D1313" s="666" t="s">
        <v>1075</v>
      </c>
      <c r="E1313" s="716" t="s">
        <v>1083</v>
      </c>
      <c r="F1313" s="659" t="s">
        <v>517</v>
      </c>
      <c r="G1313" s="658" t="s">
        <v>280</v>
      </c>
      <c r="H1313" s="662" t="s">
        <v>100</v>
      </c>
      <c r="I1313" s="582" t="str">
        <f>VLOOKUP(H1313,'9a-Typen vloeren'!$A$10:$B$40,2,FALSE)</f>
        <v>Sprayen/ conserveren</v>
      </c>
      <c r="J1313" s="663">
        <v>6.5</v>
      </c>
      <c r="K1313" s="433">
        <f t="shared" si="103"/>
        <v>6.5</v>
      </c>
      <c r="L1313" s="433">
        <f t="shared" si="104"/>
        <v>0</v>
      </c>
      <c r="M1313" s="433">
        <f t="shared" si="105"/>
        <v>0</v>
      </c>
      <c r="N1313" s="672"/>
      <c r="O1313" s="729">
        <f>IF(N1313="",0,N1313*K1313/'9b-Vloeronderhoud'!$F$4)</f>
        <v>0</v>
      </c>
      <c r="P1313" s="672"/>
      <c r="Q1313" s="729" t="e">
        <f>IF(O1313="",0,P1313*L1313/'9b-Vloeronderhoud'!$F$6)</f>
        <v>#DIV/0!</v>
      </c>
      <c r="R1313" s="449">
        <v>1</v>
      </c>
      <c r="S1313" s="679">
        <v>190</v>
      </c>
      <c r="T1313" s="161" t="e">
        <f t="shared" si="106"/>
        <v>#DIV/0!</v>
      </c>
      <c r="U1313" s="162">
        <f>IF(S1313="nio",0,IF(S1313&gt;0,VLOOKUP(G1313,'3-Productie normen'!A:K,VLOOKUP(S1313,'3-Productie normen'!L:N,3,FALSE),FALSE)))</f>
        <v>0</v>
      </c>
      <c r="V1313" s="162">
        <f>VLOOKUP(G1313,'3-Productie normen'!A:K,10,FALSE)</f>
        <v>67.100000381469727</v>
      </c>
      <c r="W1313" s="163">
        <f>VLOOKUP(G1313,'3-Productie normen'!A:K,11,FALSE)</f>
        <v>0</v>
      </c>
      <c r="X1313" s="163"/>
      <c r="Z1313" s="129">
        <f t="shared" si="107"/>
        <v>1235</v>
      </c>
    </row>
    <row r="1314" spans="1:26" ht="14.1" customHeight="1">
      <c r="A1314" s="144">
        <v>1352</v>
      </c>
      <c r="B1314" s="659" t="s">
        <v>566</v>
      </c>
      <c r="C1314" s="659" t="s">
        <v>514</v>
      </c>
      <c r="D1314" s="666" t="s">
        <v>1075</v>
      </c>
      <c r="E1314" s="716" t="s">
        <v>1084</v>
      </c>
      <c r="F1314" s="659" t="s">
        <v>1085</v>
      </c>
      <c r="G1314" s="658" t="s">
        <v>18</v>
      </c>
      <c r="H1314" s="662" t="s">
        <v>335</v>
      </c>
      <c r="I1314" s="582" t="str">
        <f>VLOOKUP(H1314,'9a-Typen vloeren'!$A$10:$B$40,2,FALSE)</f>
        <v>Schrobben</v>
      </c>
      <c r="J1314" s="663">
        <v>13</v>
      </c>
      <c r="K1314" s="433">
        <f t="shared" si="103"/>
        <v>0</v>
      </c>
      <c r="L1314" s="433">
        <f t="shared" si="104"/>
        <v>13</v>
      </c>
      <c r="M1314" s="433">
        <f t="shared" si="105"/>
        <v>0</v>
      </c>
      <c r="N1314" s="672"/>
      <c r="O1314" s="729">
        <f>IF(N1314="",0,N1314*K1314/'9b-Vloeronderhoud'!$F$4)</f>
        <v>0</v>
      </c>
      <c r="P1314" s="672"/>
      <c r="Q1314" s="729" t="e">
        <f>IF(O1314="",0,P1314*L1314/'9b-Vloeronderhoud'!$F$6)</f>
        <v>#DIV/0!</v>
      </c>
      <c r="R1314" s="449">
        <v>1</v>
      </c>
      <c r="S1314" s="679">
        <v>190</v>
      </c>
      <c r="T1314" s="161" t="e">
        <f t="shared" si="106"/>
        <v>#DIV/0!</v>
      </c>
      <c r="U1314" s="162">
        <f>IF(S1314="nio",0,IF(S1314&gt;0,VLOOKUP(G1314,'3-Productie normen'!A:K,VLOOKUP(S1314,'3-Productie normen'!L:N,3,FALSE),FALSE)))</f>
        <v>0</v>
      </c>
      <c r="V1314" s="162">
        <f>VLOOKUP(G1314,'3-Productie normen'!A:K,10,FALSE)</f>
        <v>1859.5880019121171</v>
      </c>
      <c r="W1314" s="163">
        <f>VLOOKUP(G1314,'3-Productie normen'!A:K,11,FALSE)</f>
        <v>0</v>
      </c>
      <c r="X1314" s="163"/>
      <c r="Z1314" s="129">
        <f t="shared" si="107"/>
        <v>2470</v>
      </c>
    </row>
    <row r="1315" spans="1:26" ht="14.1" customHeight="1">
      <c r="A1315" s="144">
        <v>1353</v>
      </c>
      <c r="B1315" s="659" t="s">
        <v>566</v>
      </c>
      <c r="C1315" s="659" t="s">
        <v>514</v>
      </c>
      <c r="D1315" s="666" t="s">
        <v>1075</v>
      </c>
      <c r="E1315" s="716" t="s">
        <v>1086</v>
      </c>
      <c r="F1315" s="659" t="s">
        <v>1085</v>
      </c>
      <c r="G1315" s="658" t="s">
        <v>18</v>
      </c>
      <c r="H1315" s="662" t="s">
        <v>335</v>
      </c>
      <c r="I1315" s="582" t="str">
        <f>VLOOKUP(H1315,'9a-Typen vloeren'!$A$10:$B$40,2,FALSE)</f>
        <v>Schrobben</v>
      </c>
      <c r="J1315" s="663">
        <v>5</v>
      </c>
      <c r="K1315" s="433">
        <f t="shared" si="103"/>
        <v>0</v>
      </c>
      <c r="L1315" s="433">
        <f t="shared" si="104"/>
        <v>5</v>
      </c>
      <c r="M1315" s="433">
        <f t="shared" si="105"/>
        <v>0</v>
      </c>
      <c r="N1315" s="672"/>
      <c r="O1315" s="729">
        <f>IF(N1315="",0,N1315*K1315/'9b-Vloeronderhoud'!$F$4)</f>
        <v>0</v>
      </c>
      <c r="P1315" s="672"/>
      <c r="Q1315" s="729" t="e">
        <f>IF(O1315="",0,P1315*L1315/'9b-Vloeronderhoud'!$F$6)</f>
        <v>#DIV/0!</v>
      </c>
      <c r="R1315" s="449">
        <v>1</v>
      </c>
      <c r="S1315" s="679">
        <v>190</v>
      </c>
      <c r="T1315" s="161" t="e">
        <f t="shared" si="106"/>
        <v>#DIV/0!</v>
      </c>
      <c r="U1315" s="162">
        <f>IF(S1315="nio",0,IF(S1315&gt;0,VLOOKUP(G1315,'3-Productie normen'!A:K,VLOOKUP(S1315,'3-Productie normen'!L:N,3,FALSE),FALSE)))</f>
        <v>0</v>
      </c>
      <c r="V1315" s="162">
        <f>VLOOKUP(G1315,'3-Productie normen'!A:K,10,FALSE)</f>
        <v>1859.5880019121171</v>
      </c>
      <c r="W1315" s="163">
        <f>VLOOKUP(G1315,'3-Productie normen'!A:K,11,FALSE)</f>
        <v>0</v>
      </c>
      <c r="X1315" s="163"/>
      <c r="Z1315" s="129">
        <f t="shared" si="107"/>
        <v>950</v>
      </c>
    </row>
    <row r="1316" spans="1:26" ht="14.1" customHeight="1">
      <c r="A1316" s="144">
        <v>1354</v>
      </c>
      <c r="B1316" s="659" t="s">
        <v>566</v>
      </c>
      <c r="C1316" s="659" t="s">
        <v>514</v>
      </c>
      <c r="D1316" s="666" t="s">
        <v>1075</v>
      </c>
      <c r="E1316" s="716" t="s">
        <v>1087</v>
      </c>
      <c r="F1316" s="659" t="s">
        <v>1085</v>
      </c>
      <c r="G1316" s="658" t="s">
        <v>18</v>
      </c>
      <c r="H1316" s="662" t="s">
        <v>335</v>
      </c>
      <c r="I1316" s="582" t="str">
        <f>VLOOKUP(H1316,'9a-Typen vloeren'!$A$10:$B$40,2,FALSE)</f>
        <v>Schrobben</v>
      </c>
      <c r="J1316" s="663">
        <v>1.2</v>
      </c>
      <c r="K1316" s="433">
        <f t="shared" si="103"/>
        <v>0</v>
      </c>
      <c r="L1316" s="433">
        <f t="shared" si="104"/>
        <v>1.2</v>
      </c>
      <c r="M1316" s="433">
        <f t="shared" si="105"/>
        <v>0</v>
      </c>
      <c r="N1316" s="672"/>
      <c r="O1316" s="729">
        <f>IF(N1316="",0,N1316*K1316/'9b-Vloeronderhoud'!$F$4)</f>
        <v>0</v>
      </c>
      <c r="P1316" s="672"/>
      <c r="Q1316" s="729" t="e">
        <f>IF(O1316="",0,P1316*L1316/'9b-Vloeronderhoud'!$F$6)</f>
        <v>#DIV/0!</v>
      </c>
      <c r="R1316" s="449">
        <v>1</v>
      </c>
      <c r="S1316" s="679">
        <v>190</v>
      </c>
      <c r="T1316" s="161" t="e">
        <f t="shared" si="106"/>
        <v>#DIV/0!</v>
      </c>
      <c r="U1316" s="162">
        <f>IF(S1316="nio",0,IF(S1316&gt;0,VLOOKUP(G1316,'3-Productie normen'!A:K,VLOOKUP(S1316,'3-Productie normen'!L:N,3,FALSE),FALSE)))</f>
        <v>0</v>
      </c>
      <c r="V1316" s="162">
        <f>VLOOKUP(G1316,'3-Productie normen'!A:K,10,FALSE)</f>
        <v>1859.5880019121171</v>
      </c>
      <c r="W1316" s="163">
        <f>VLOOKUP(G1316,'3-Productie normen'!A:K,11,FALSE)</f>
        <v>0</v>
      </c>
      <c r="X1316" s="163"/>
      <c r="Z1316" s="129">
        <f t="shared" si="107"/>
        <v>228</v>
      </c>
    </row>
    <row r="1317" spans="1:26" ht="14.1" customHeight="1">
      <c r="A1317" s="144">
        <v>1355</v>
      </c>
      <c r="B1317" s="659" t="s">
        <v>566</v>
      </c>
      <c r="C1317" s="659" t="s">
        <v>514</v>
      </c>
      <c r="D1317" s="666" t="s">
        <v>1075</v>
      </c>
      <c r="E1317" s="716" t="s">
        <v>1088</v>
      </c>
      <c r="F1317" s="659" t="s">
        <v>1089</v>
      </c>
      <c r="G1317" s="658" t="s">
        <v>18</v>
      </c>
      <c r="H1317" s="662" t="s">
        <v>335</v>
      </c>
      <c r="I1317" s="582" t="str">
        <f>VLOOKUP(H1317,'9a-Typen vloeren'!$A$10:$B$40,2,FALSE)</f>
        <v>Schrobben</v>
      </c>
      <c r="J1317" s="663">
        <v>1.2</v>
      </c>
      <c r="K1317" s="433">
        <f t="shared" si="103"/>
        <v>0</v>
      </c>
      <c r="L1317" s="433">
        <f t="shared" si="104"/>
        <v>1.2</v>
      </c>
      <c r="M1317" s="433">
        <f t="shared" si="105"/>
        <v>0</v>
      </c>
      <c r="N1317" s="672"/>
      <c r="O1317" s="729">
        <f>IF(N1317="",0,N1317*K1317/'9b-Vloeronderhoud'!$F$4)</f>
        <v>0</v>
      </c>
      <c r="P1317" s="672"/>
      <c r="Q1317" s="729" t="e">
        <f>IF(O1317="",0,P1317*L1317/'9b-Vloeronderhoud'!$F$6)</f>
        <v>#DIV/0!</v>
      </c>
      <c r="R1317" s="449">
        <v>1</v>
      </c>
      <c r="S1317" s="679">
        <v>190</v>
      </c>
      <c r="T1317" s="161" t="e">
        <f t="shared" si="106"/>
        <v>#DIV/0!</v>
      </c>
      <c r="U1317" s="162">
        <f>IF(S1317="nio",0,IF(S1317&gt;0,VLOOKUP(G1317,'3-Productie normen'!A:K,VLOOKUP(S1317,'3-Productie normen'!L:N,3,FALSE),FALSE)))</f>
        <v>0</v>
      </c>
      <c r="V1317" s="162">
        <f>VLOOKUP(G1317,'3-Productie normen'!A:K,10,FALSE)</f>
        <v>1859.5880019121171</v>
      </c>
      <c r="W1317" s="163">
        <f>VLOOKUP(G1317,'3-Productie normen'!A:K,11,FALSE)</f>
        <v>0</v>
      </c>
      <c r="X1317" s="163"/>
      <c r="Z1317" s="129">
        <f t="shared" si="107"/>
        <v>228</v>
      </c>
    </row>
    <row r="1318" spans="1:26" ht="14.1" customHeight="1">
      <c r="A1318" s="144">
        <v>1356</v>
      </c>
      <c r="B1318" s="659" t="s">
        <v>566</v>
      </c>
      <c r="C1318" s="659" t="s">
        <v>514</v>
      </c>
      <c r="D1318" s="666" t="s">
        <v>1075</v>
      </c>
      <c r="E1318" s="716" t="s">
        <v>1090</v>
      </c>
      <c r="F1318" s="659" t="s">
        <v>1091</v>
      </c>
      <c r="G1318" s="658" t="s">
        <v>189</v>
      </c>
      <c r="H1318" s="662" t="s">
        <v>1058</v>
      </c>
      <c r="I1318" s="582" t="str">
        <f>VLOOKUP(H1318,'9a-Typen vloeren'!$A$10:$B$40,2,FALSE)</f>
        <v>Sproei/extraheren</v>
      </c>
      <c r="J1318" s="663">
        <v>5.5</v>
      </c>
      <c r="K1318" s="433">
        <f t="shared" si="103"/>
        <v>0</v>
      </c>
      <c r="L1318" s="433">
        <f t="shared" si="104"/>
        <v>0</v>
      </c>
      <c r="M1318" s="433">
        <f t="shared" si="105"/>
        <v>5.5</v>
      </c>
      <c r="N1318" s="672"/>
      <c r="O1318" s="729">
        <f>IF(N1318="",0,N1318*K1318/'9b-Vloeronderhoud'!$F$4)</f>
        <v>0</v>
      </c>
      <c r="P1318" s="672"/>
      <c r="Q1318" s="729" t="e">
        <f>IF(O1318="",0,P1318*L1318/'9b-Vloeronderhoud'!$F$6)</f>
        <v>#DIV/0!</v>
      </c>
      <c r="R1318" s="449">
        <v>1</v>
      </c>
      <c r="S1318" s="675">
        <v>40</v>
      </c>
      <c r="T1318" s="161" t="e">
        <f t="shared" si="106"/>
        <v>#DIV/0!</v>
      </c>
      <c r="U1318" s="162">
        <f>IF(S1318="nio",0,IF(S1318&gt;0,VLOOKUP(G1318,'3-Productie normen'!A:K,VLOOKUP(S1318,'3-Productie normen'!L:N,3,FALSE),FALSE)))</f>
        <v>0</v>
      </c>
      <c r="V1318" s="162">
        <f>VLOOKUP(G1318,'3-Productie normen'!A:K,10,FALSE)</f>
        <v>1494.1700078582762</v>
      </c>
      <c r="W1318" s="163">
        <f>VLOOKUP(G1318,'3-Productie normen'!A:K,11,FALSE)</f>
        <v>0</v>
      </c>
      <c r="X1318" s="163"/>
      <c r="Z1318" s="129">
        <f t="shared" si="107"/>
        <v>220</v>
      </c>
    </row>
    <row r="1319" spans="1:26" ht="14.1" customHeight="1">
      <c r="A1319" s="144">
        <v>1357</v>
      </c>
      <c r="B1319" s="659" t="s">
        <v>566</v>
      </c>
      <c r="C1319" s="659" t="s">
        <v>514</v>
      </c>
      <c r="D1319" s="666" t="s">
        <v>1075</v>
      </c>
      <c r="E1319" s="716" t="s">
        <v>1092</v>
      </c>
      <c r="F1319" s="659" t="s">
        <v>404</v>
      </c>
      <c r="G1319" s="658" t="s">
        <v>286</v>
      </c>
      <c r="H1319" s="662" t="s">
        <v>100</v>
      </c>
      <c r="I1319" s="582" t="str">
        <f>VLOOKUP(H1319,'9a-Typen vloeren'!$A$10:$B$40,2,FALSE)</f>
        <v>Sprayen/ conserveren</v>
      </c>
      <c r="J1319" s="663">
        <v>8</v>
      </c>
      <c r="K1319" s="433">
        <f t="shared" si="103"/>
        <v>8</v>
      </c>
      <c r="L1319" s="433">
        <f t="shared" si="104"/>
        <v>0</v>
      </c>
      <c r="M1319" s="433">
        <f t="shared" si="105"/>
        <v>0</v>
      </c>
      <c r="N1319" s="672">
        <v>2</v>
      </c>
      <c r="O1319" s="729" t="e">
        <f>IF(N1319="",0,N1319*K1319/'9b-Vloeronderhoud'!$F$4)</f>
        <v>#DIV/0!</v>
      </c>
      <c r="P1319" s="672"/>
      <c r="Q1319" s="729" t="e">
        <f>IF(O1319="",0,P1319*L1319/'9b-Vloeronderhoud'!$F$6)</f>
        <v>#DIV/0!</v>
      </c>
      <c r="R1319" s="449">
        <v>1</v>
      </c>
      <c r="S1319" s="672">
        <v>120</v>
      </c>
      <c r="T1319" s="161" t="e">
        <f t="shared" si="106"/>
        <v>#DIV/0!</v>
      </c>
      <c r="U1319" s="162">
        <f>IF(S1319="nio",0,IF(S1319&gt;0,VLOOKUP(G1319,'3-Productie normen'!A:K,VLOOKUP(S1319,'3-Productie normen'!L:N,3,FALSE),FALSE)))</f>
        <v>0</v>
      </c>
      <c r="V1319" s="162">
        <f>VLOOKUP(G1319,'3-Productie normen'!A:K,10,FALSE)</f>
        <v>6152.9500017547598</v>
      </c>
      <c r="W1319" s="163">
        <f>VLOOKUP(G1319,'3-Productie normen'!A:K,11,FALSE)</f>
        <v>0</v>
      </c>
      <c r="X1319" s="163"/>
      <c r="Z1319" s="129">
        <f t="shared" si="107"/>
        <v>960</v>
      </c>
    </row>
    <row r="1320" spans="1:26" ht="14.1" customHeight="1">
      <c r="A1320" s="144">
        <v>1358</v>
      </c>
      <c r="B1320" s="659" t="s">
        <v>566</v>
      </c>
      <c r="C1320" s="659" t="s">
        <v>514</v>
      </c>
      <c r="D1320" s="666" t="s">
        <v>1075</v>
      </c>
      <c r="E1320" s="716" t="s">
        <v>1093</v>
      </c>
      <c r="F1320" s="659" t="s">
        <v>404</v>
      </c>
      <c r="G1320" s="658" t="s">
        <v>286</v>
      </c>
      <c r="H1320" s="662" t="s">
        <v>100</v>
      </c>
      <c r="I1320" s="582" t="str">
        <f>VLOOKUP(H1320,'9a-Typen vloeren'!$A$10:$B$40,2,FALSE)</f>
        <v>Sprayen/ conserveren</v>
      </c>
      <c r="J1320" s="663">
        <v>8</v>
      </c>
      <c r="K1320" s="433">
        <f t="shared" si="103"/>
        <v>8</v>
      </c>
      <c r="L1320" s="433">
        <f t="shared" si="104"/>
        <v>0</v>
      </c>
      <c r="M1320" s="433">
        <f t="shared" si="105"/>
        <v>0</v>
      </c>
      <c r="N1320" s="672">
        <v>2</v>
      </c>
      <c r="O1320" s="729" t="e">
        <f>IF(N1320="",0,N1320*K1320/'9b-Vloeronderhoud'!$F$4)</f>
        <v>#DIV/0!</v>
      </c>
      <c r="P1320" s="672"/>
      <c r="Q1320" s="729" t="e">
        <f>IF(O1320="",0,P1320*L1320/'9b-Vloeronderhoud'!$F$6)</f>
        <v>#DIV/0!</v>
      </c>
      <c r="R1320" s="449">
        <v>1</v>
      </c>
      <c r="S1320" s="672">
        <v>120</v>
      </c>
      <c r="T1320" s="161" t="e">
        <f t="shared" si="106"/>
        <v>#DIV/0!</v>
      </c>
      <c r="U1320" s="162">
        <f>IF(S1320="nio",0,IF(S1320&gt;0,VLOOKUP(G1320,'3-Productie normen'!A:K,VLOOKUP(S1320,'3-Productie normen'!L:N,3,FALSE),FALSE)))</f>
        <v>0</v>
      </c>
      <c r="V1320" s="162">
        <f>VLOOKUP(G1320,'3-Productie normen'!A:K,10,FALSE)</f>
        <v>6152.9500017547598</v>
      </c>
      <c r="W1320" s="163">
        <f>VLOOKUP(G1320,'3-Productie normen'!A:K,11,FALSE)</f>
        <v>0</v>
      </c>
      <c r="X1320" s="163"/>
      <c r="Z1320" s="129">
        <f t="shared" si="107"/>
        <v>960</v>
      </c>
    </row>
    <row r="1321" spans="1:26" ht="14.1" customHeight="1">
      <c r="A1321" s="144">
        <v>1359</v>
      </c>
      <c r="B1321" s="659" t="s">
        <v>566</v>
      </c>
      <c r="C1321" s="659" t="s">
        <v>514</v>
      </c>
      <c r="D1321" s="666" t="s">
        <v>1075</v>
      </c>
      <c r="E1321" s="716" t="s">
        <v>1094</v>
      </c>
      <c r="F1321" s="659" t="s">
        <v>404</v>
      </c>
      <c r="G1321" s="658" t="s">
        <v>286</v>
      </c>
      <c r="H1321" s="662" t="s">
        <v>100</v>
      </c>
      <c r="I1321" s="582" t="str">
        <f>VLOOKUP(H1321,'9a-Typen vloeren'!$A$10:$B$40,2,FALSE)</f>
        <v>Sprayen/ conserveren</v>
      </c>
      <c r="J1321" s="663">
        <v>65</v>
      </c>
      <c r="K1321" s="433">
        <f t="shared" si="103"/>
        <v>65</v>
      </c>
      <c r="L1321" s="433">
        <f t="shared" si="104"/>
        <v>0</v>
      </c>
      <c r="M1321" s="433">
        <f t="shared" si="105"/>
        <v>0</v>
      </c>
      <c r="N1321" s="672">
        <v>2</v>
      </c>
      <c r="O1321" s="729" t="e">
        <f>IF(N1321="",0,N1321*K1321/'9b-Vloeronderhoud'!$F$4)</f>
        <v>#DIV/0!</v>
      </c>
      <c r="P1321" s="672"/>
      <c r="Q1321" s="729" t="e">
        <f>IF(O1321="",0,P1321*L1321/'9b-Vloeronderhoud'!$F$6)</f>
        <v>#DIV/0!</v>
      </c>
      <c r="R1321" s="449">
        <v>1</v>
      </c>
      <c r="S1321" s="672">
        <v>120</v>
      </c>
      <c r="T1321" s="161" t="e">
        <f t="shared" si="106"/>
        <v>#DIV/0!</v>
      </c>
      <c r="U1321" s="162">
        <f>IF(S1321="nio",0,IF(S1321&gt;0,VLOOKUP(G1321,'3-Productie normen'!A:K,VLOOKUP(S1321,'3-Productie normen'!L:N,3,FALSE),FALSE)))</f>
        <v>0</v>
      </c>
      <c r="V1321" s="162">
        <f>VLOOKUP(G1321,'3-Productie normen'!A:K,10,FALSE)</f>
        <v>6152.9500017547598</v>
      </c>
      <c r="W1321" s="163">
        <f>VLOOKUP(G1321,'3-Productie normen'!A:K,11,FALSE)</f>
        <v>0</v>
      </c>
      <c r="X1321" s="163"/>
      <c r="Z1321" s="129">
        <f t="shared" si="107"/>
        <v>7800</v>
      </c>
    </row>
    <row r="1322" spans="1:26" ht="14.1" customHeight="1">
      <c r="A1322" s="144">
        <v>1360</v>
      </c>
      <c r="B1322" s="659" t="s">
        <v>566</v>
      </c>
      <c r="C1322" s="659" t="s">
        <v>514</v>
      </c>
      <c r="D1322" s="666" t="s">
        <v>1075</v>
      </c>
      <c r="E1322" s="716"/>
      <c r="F1322" s="659" t="s">
        <v>1095</v>
      </c>
      <c r="G1322" s="658" t="s">
        <v>221</v>
      </c>
      <c r="H1322" s="662" t="s">
        <v>100</v>
      </c>
      <c r="I1322" s="582" t="str">
        <f>VLOOKUP(H1322,'9a-Typen vloeren'!$A$10:$B$40,2,FALSE)</f>
        <v>Sprayen/ conserveren</v>
      </c>
      <c r="J1322" s="663">
        <v>70</v>
      </c>
      <c r="K1322" s="433">
        <f t="shared" si="103"/>
        <v>70</v>
      </c>
      <c r="L1322" s="433">
        <f t="shared" si="104"/>
        <v>0</v>
      </c>
      <c r="M1322" s="433">
        <f t="shared" si="105"/>
        <v>0</v>
      </c>
      <c r="N1322" s="672"/>
      <c r="O1322" s="729">
        <f>IF(N1322="",0,N1322*K1322/'9b-Vloeronderhoud'!$F$4)</f>
        <v>0</v>
      </c>
      <c r="P1322" s="672"/>
      <c r="Q1322" s="729" t="e">
        <f>IF(O1322="",0,P1322*L1322/'9b-Vloeronderhoud'!$F$6)</f>
        <v>#DIV/0!</v>
      </c>
      <c r="R1322" s="449">
        <v>1</v>
      </c>
      <c r="S1322" s="688" t="s">
        <v>179</v>
      </c>
      <c r="T1322" s="161">
        <f t="shared" si="106"/>
        <v>0</v>
      </c>
      <c r="U1322" s="162">
        <f>IF(S1322="nio",0,IF(S1322&gt;0,VLOOKUP(G1322,'3-Productie normen'!A:K,VLOOKUP(S1322,'3-Productie normen'!L:N,3,FALSE),FALSE)))</f>
        <v>0</v>
      </c>
      <c r="V1322" s="162">
        <f>VLOOKUP(G1322,'3-Productie normen'!A:K,10,FALSE)</f>
        <v>16013.110036668773</v>
      </c>
      <c r="W1322" s="163">
        <f>VLOOKUP(G1322,'3-Productie normen'!A:K,11,FALSE)</f>
        <v>0</v>
      </c>
      <c r="X1322" s="163"/>
      <c r="Z1322" s="129">
        <f t="shared" si="107"/>
        <v>0</v>
      </c>
    </row>
    <row r="1323" spans="1:26" ht="14.1" customHeight="1">
      <c r="A1323" s="144">
        <v>1361</v>
      </c>
      <c r="B1323" s="659" t="s">
        <v>566</v>
      </c>
      <c r="C1323" s="659" t="s">
        <v>514</v>
      </c>
      <c r="D1323" s="666" t="s">
        <v>1075</v>
      </c>
      <c r="E1323" s="716"/>
      <c r="F1323" s="659" t="s">
        <v>1096</v>
      </c>
      <c r="G1323" s="658" t="s">
        <v>221</v>
      </c>
      <c r="H1323" s="662" t="s">
        <v>100</v>
      </c>
      <c r="I1323" s="582" t="str">
        <f>VLOOKUP(H1323,'9a-Typen vloeren'!$A$10:$B$40,2,FALSE)</f>
        <v>Sprayen/ conserveren</v>
      </c>
      <c r="J1323" s="663">
        <v>86</v>
      </c>
      <c r="K1323" s="433">
        <f t="shared" si="103"/>
        <v>86</v>
      </c>
      <c r="L1323" s="433">
        <f t="shared" si="104"/>
        <v>0</v>
      </c>
      <c r="M1323" s="433">
        <f t="shared" si="105"/>
        <v>0</v>
      </c>
      <c r="N1323" s="672"/>
      <c r="O1323" s="729">
        <f>IF(N1323="",0,N1323*K1323/'9b-Vloeronderhoud'!$F$4)</f>
        <v>0</v>
      </c>
      <c r="P1323" s="672"/>
      <c r="Q1323" s="729" t="e">
        <f>IF(O1323="",0,P1323*L1323/'9b-Vloeronderhoud'!$F$6)</f>
        <v>#DIV/0!</v>
      </c>
      <c r="R1323" s="449">
        <v>1</v>
      </c>
      <c r="S1323" s="688" t="s">
        <v>179</v>
      </c>
      <c r="T1323" s="161">
        <f t="shared" si="106"/>
        <v>0</v>
      </c>
      <c r="U1323" s="162">
        <f>IF(S1323="nio",0,IF(S1323&gt;0,VLOOKUP(G1323,'3-Productie normen'!A:K,VLOOKUP(S1323,'3-Productie normen'!L:N,3,FALSE),FALSE)))</f>
        <v>0</v>
      </c>
      <c r="V1323" s="162">
        <f>VLOOKUP(G1323,'3-Productie normen'!A:K,10,FALSE)</f>
        <v>16013.110036668773</v>
      </c>
      <c r="W1323" s="163">
        <f>VLOOKUP(G1323,'3-Productie normen'!A:K,11,FALSE)</f>
        <v>0</v>
      </c>
      <c r="X1323" s="163"/>
      <c r="Z1323" s="129">
        <f t="shared" si="107"/>
        <v>0</v>
      </c>
    </row>
    <row r="1324" spans="1:26" ht="14.1" customHeight="1">
      <c r="A1324" s="144">
        <v>1362</v>
      </c>
      <c r="B1324" s="659" t="s">
        <v>566</v>
      </c>
      <c r="C1324" s="659" t="s">
        <v>514</v>
      </c>
      <c r="D1324" s="666" t="s">
        <v>1075</v>
      </c>
      <c r="E1324" s="716"/>
      <c r="F1324" s="659" t="s">
        <v>928</v>
      </c>
      <c r="G1324" s="658" t="s">
        <v>280</v>
      </c>
      <c r="H1324" s="662" t="s">
        <v>100</v>
      </c>
      <c r="I1324" s="582" t="str">
        <f>VLOOKUP(H1324,'9a-Typen vloeren'!$A$10:$B$40,2,FALSE)</f>
        <v>Sprayen/ conserveren</v>
      </c>
      <c r="J1324" s="663">
        <v>9.5</v>
      </c>
      <c r="K1324" s="433">
        <f t="shared" si="103"/>
        <v>9.5</v>
      </c>
      <c r="L1324" s="433">
        <f t="shared" si="104"/>
        <v>0</v>
      </c>
      <c r="M1324" s="433">
        <f t="shared" si="105"/>
        <v>0</v>
      </c>
      <c r="N1324" s="672"/>
      <c r="O1324" s="729">
        <f>IF(N1324="",0,N1324*K1324/'9b-Vloeronderhoud'!$F$4)</f>
        <v>0</v>
      </c>
      <c r="P1324" s="672"/>
      <c r="Q1324" s="729" t="e">
        <f>IF(O1324="",0,P1324*L1324/'9b-Vloeronderhoud'!$F$6)</f>
        <v>#DIV/0!</v>
      </c>
      <c r="R1324" s="449">
        <v>1</v>
      </c>
      <c r="S1324" s="679">
        <v>190</v>
      </c>
      <c r="T1324" s="161" t="e">
        <f t="shared" si="106"/>
        <v>#DIV/0!</v>
      </c>
      <c r="U1324" s="162">
        <f>IF(S1324="nio",0,IF(S1324&gt;0,VLOOKUP(G1324,'3-Productie normen'!A:K,VLOOKUP(S1324,'3-Productie normen'!L:N,3,FALSE),FALSE)))</f>
        <v>0</v>
      </c>
      <c r="V1324" s="162">
        <f>VLOOKUP(G1324,'3-Productie normen'!A:K,10,FALSE)</f>
        <v>67.100000381469727</v>
      </c>
      <c r="W1324" s="163">
        <f>VLOOKUP(G1324,'3-Productie normen'!A:K,11,FALSE)</f>
        <v>0</v>
      </c>
      <c r="X1324" s="163"/>
      <c r="Z1324" s="129">
        <f t="shared" si="107"/>
        <v>1805</v>
      </c>
    </row>
    <row r="1325" spans="1:26" ht="14.1" customHeight="1">
      <c r="A1325" s="144">
        <v>1363</v>
      </c>
      <c r="B1325" s="659" t="s">
        <v>566</v>
      </c>
      <c r="C1325" s="659" t="s">
        <v>514</v>
      </c>
      <c r="D1325" s="666" t="s">
        <v>1075</v>
      </c>
      <c r="E1325" s="716"/>
      <c r="F1325" s="659" t="s">
        <v>928</v>
      </c>
      <c r="G1325" s="658" t="s">
        <v>280</v>
      </c>
      <c r="H1325" s="662" t="s">
        <v>100</v>
      </c>
      <c r="I1325" s="582" t="str">
        <f>VLOOKUP(H1325,'9a-Typen vloeren'!$A$10:$B$40,2,FALSE)</f>
        <v>Sprayen/ conserveren</v>
      </c>
      <c r="J1325" s="663">
        <v>9.5</v>
      </c>
      <c r="K1325" s="433">
        <f t="shared" si="103"/>
        <v>9.5</v>
      </c>
      <c r="L1325" s="433">
        <f t="shared" si="104"/>
        <v>0</v>
      </c>
      <c r="M1325" s="433">
        <f t="shared" si="105"/>
        <v>0</v>
      </c>
      <c r="N1325" s="672"/>
      <c r="O1325" s="729">
        <f>IF(N1325="",0,N1325*K1325/'9b-Vloeronderhoud'!$F$4)</f>
        <v>0</v>
      </c>
      <c r="P1325" s="672"/>
      <c r="Q1325" s="729" t="e">
        <f>IF(O1325="",0,P1325*L1325/'9b-Vloeronderhoud'!$F$6)</f>
        <v>#DIV/0!</v>
      </c>
      <c r="R1325" s="449">
        <v>1</v>
      </c>
      <c r="S1325" s="679">
        <v>190</v>
      </c>
      <c r="T1325" s="161" t="e">
        <f t="shared" si="106"/>
        <v>#DIV/0!</v>
      </c>
      <c r="U1325" s="162">
        <f>IF(S1325="nio",0,IF(S1325&gt;0,VLOOKUP(G1325,'3-Productie normen'!A:K,VLOOKUP(S1325,'3-Productie normen'!L:N,3,FALSE),FALSE)))</f>
        <v>0</v>
      </c>
      <c r="V1325" s="162">
        <f>VLOOKUP(G1325,'3-Productie normen'!A:K,10,FALSE)</f>
        <v>67.100000381469727</v>
      </c>
      <c r="W1325" s="163">
        <f>VLOOKUP(G1325,'3-Productie normen'!A:K,11,FALSE)</f>
        <v>0</v>
      </c>
      <c r="X1325" s="163"/>
      <c r="Z1325" s="129">
        <f t="shared" si="107"/>
        <v>1805</v>
      </c>
    </row>
    <row r="1326" spans="1:26" ht="14.1" customHeight="1">
      <c r="A1326" s="144">
        <v>1364</v>
      </c>
      <c r="B1326" s="659" t="s">
        <v>566</v>
      </c>
      <c r="C1326" s="659" t="s">
        <v>514</v>
      </c>
      <c r="D1326" s="666" t="s">
        <v>1075</v>
      </c>
      <c r="E1326" s="716"/>
      <c r="F1326" s="659" t="s">
        <v>1097</v>
      </c>
      <c r="G1326" s="658" t="s">
        <v>286</v>
      </c>
      <c r="H1326" s="662" t="s">
        <v>100</v>
      </c>
      <c r="I1326" s="582" t="str">
        <f>VLOOKUP(H1326,'9a-Typen vloeren'!$A$10:$B$40,2,FALSE)</f>
        <v>Sprayen/ conserveren</v>
      </c>
      <c r="J1326" s="663">
        <v>30</v>
      </c>
      <c r="K1326" s="433">
        <f t="shared" si="103"/>
        <v>30</v>
      </c>
      <c r="L1326" s="433">
        <f t="shared" si="104"/>
        <v>0</v>
      </c>
      <c r="M1326" s="433">
        <f t="shared" si="105"/>
        <v>0</v>
      </c>
      <c r="N1326" s="672"/>
      <c r="O1326" s="729">
        <f>IF(N1326="",0,N1326*K1326/'9b-Vloeronderhoud'!$F$4)</f>
        <v>0</v>
      </c>
      <c r="P1326" s="672"/>
      <c r="Q1326" s="729" t="e">
        <f>IF(O1326="",0,P1326*L1326/'9b-Vloeronderhoud'!$F$6)</f>
        <v>#DIV/0!</v>
      </c>
      <c r="R1326" s="449">
        <v>1</v>
      </c>
      <c r="S1326" s="672">
        <v>80</v>
      </c>
      <c r="T1326" s="161" t="e">
        <f t="shared" si="106"/>
        <v>#DIV/0!</v>
      </c>
      <c r="U1326" s="162">
        <f>IF(S1326="nio",0,IF(S1326&gt;0,VLOOKUP(G1326,'3-Productie normen'!A:K,VLOOKUP(S1326,'3-Productie normen'!L:N,3,FALSE),FALSE)))</f>
        <v>0</v>
      </c>
      <c r="V1326" s="162">
        <f>VLOOKUP(G1326,'3-Productie normen'!A:K,10,FALSE)</f>
        <v>6152.9500017547598</v>
      </c>
      <c r="W1326" s="163">
        <f>VLOOKUP(G1326,'3-Productie normen'!A:K,11,FALSE)</f>
        <v>0</v>
      </c>
      <c r="X1326" s="163"/>
      <c r="Z1326" s="129">
        <f t="shared" si="107"/>
        <v>2400</v>
      </c>
    </row>
    <row r="1327" spans="1:26" ht="14.1" customHeight="1">
      <c r="A1327" s="144">
        <v>1365</v>
      </c>
      <c r="B1327" s="659" t="s">
        <v>566</v>
      </c>
      <c r="C1327" s="659" t="s">
        <v>514</v>
      </c>
      <c r="D1327" s="666" t="s">
        <v>1075</v>
      </c>
      <c r="E1327" s="716" t="s">
        <v>1098</v>
      </c>
      <c r="F1327" s="659" t="s">
        <v>1099</v>
      </c>
      <c r="G1327" s="658" t="s">
        <v>286</v>
      </c>
      <c r="H1327" s="662" t="s">
        <v>100</v>
      </c>
      <c r="I1327" s="582" t="str">
        <f>VLOOKUP(H1327,'9a-Typen vloeren'!$A$10:$B$40,2,FALSE)</f>
        <v>Sprayen/ conserveren</v>
      </c>
      <c r="J1327" s="663">
        <v>30</v>
      </c>
      <c r="K1327" s="433">
        <f t="shared" si="103"/>
        <v>30</v>
      </c>
      <c r="L1327" s="433">
        <f t="shared" si="104"/>
        <v>0</v>
      </c>
      <c r="M1327" s="433">
        <f t="shared" si="105"/>
        <v>0</v>
      </c>
      <c r="N1327" s="672"/>
      <c r="O1327" s="729">
        <f>IF(N1327="",0,N1327*K1327/'9b-Vloeronderhoud'!$F$4)</f>
        <v>0</v>
      </c>
      <c r="P1327" s="672"/>
      <c r="Q1327" s="729" t="e">
        <f>IF(O1327="",0,P1327*L1327/'9b-Vloeronderhoud'!$F$6)</f>
        <v>#DIV/0!</v>
      </c>
      <c r="R1327" s="449">
        <v>1</v>
      </c>
      <c r="S1327" s="672">
        <v>120</v>
      </c>
      <c r="T1327" s="161" t="e">
        <f t="shared" si="106"/>
        <v>#DIV/0!</v>
      </c>
      <c r="U1327" s="162">
        <f>IF(S1327="nio",0,IF(S1327&gt;0,VLOOKUP(G1327,'3-Productie normen'!A:K,VLOOKUP(S1327,'3-Productie normen'!L:N,3,FALSE),FALSE)))</f>
        <v>0</v>
      </c>
      <c r="V1327" s="162">
        <f>VLOOKUP(G1327,'3-Productie normen'!A:K,10,FALSE)</f>
        <v>6152.9500017547598</v>
      </c>
      <c r="W1327" s="163">
        <f>VLOOKUP(G1327,'3-Productie normen'!A:K,11,FALSE)</f>
        <v>0</v>
      </c>
      <c r="X1327" s="163"/>
      <c r="Z1327" s="129">
        <f t="shared" si="107"/>
        <v>3600</v>
      </c>
    </row>
    <row r="1328" spans="1:26" ht="14.1" customHeight="1">
      <c r="A1328" s="144">
        <v>1366</v>
      </c>
      <c r="B1328" s="659" t="s">
        <v>234</v>
      </c>
      <c r="C1328" s="659" t="s">
        <v>514</v>
      </c>
      <c r="D1328" s="666" t="s">
        <v>98</v>
      </c>
      <c r="E1328" s="716" t="s">
        <v>294</v>
      </c>
      <c r="F1328" s="659" t="s">
        <v>99</v>
      </c>
      <c r="G1328" s="658" t="s">
        <v>99</v>
      </c>
      <c r="H1328" s="662" t="s">
        <v>332</v>
      </c>
      <c r="I1328" s="582" t="str">
        <f>VLOOKUP(H1328,'9a-Typen vloeren'!$A$10:$B$40,2,FALSE)</f>
        <v>Sproei/extraheren</v>
      </c>
      <c r="J1328" s="654">
        <v>7.1999998092651367</v>
      </c>
      <c r="K1328" s="433">
        <f t="shared" si="103"/>
        <v>0</v>
      </c>
      <c r="L1328" s="433">
        <f t="shared" si="104"/>
        <v>0</v>
      </c>
      <c r="M1328" s="433">
        <f t="shared" si="105"/>
        <v>7.1999998092651367</v>
      </c>
      <c r="N1328" s="672"/>
      <c r="O1328" s="729">
        <f>IF(N1328="",0,N1328*K1328/'9b-Vloeronderhoud'!$F$4)</f>
        <v>0</v>
      </c>
      <c r="P1328" s="672"/>
      <c r="Q1328" s="729" t="e">
        <f>IF(O1328="",0,P1328*L1328/'9b-Vloeronderhoud'!$F$6)</f>
        <v>#DIV/0!</v>
      </c>
      <c r="R1328" s="449">
        <v>1</v>
      </c>
      <c r="S1328" s="676">
        <v>190</v>
      </c>
      <c r="T1328" s="161" t="e">
        <f t="shared" si="106"/>
        <v>#DIV/0!</v>
      </c>
      <c r="U1328" s="162">
        <f>IF(S1328="nio",0,IF(S1328&gt;0,VLOOKUP(G1328,'3-Productie normen'!A:K,VLOOKUP(S1328,'3-Productie normen'!L:N,3,FALSE),FALSE)))</f>
        <v>0</v>
      </c>
      <c r="V1328" s="162">
        <f>VLOOKUP(G1328,'3-Productie normen'!A:K,10,FALSE)</f>
        <v>726.97999910354622</v>
      </c>
      <c r="W1328" s="163">
        <f>VLOOKUP(G1328,'3-Productie normen'!A:K,11,FALSE)</f>
        <v>0</v>
      </c>
      <c r="X1328" s="163"/>
      <c r="Z1328" s="129">
        <f t="shared" si="107"/>
        <v>1367.999963760376</v>
      </c>
    </row>
    <row r="1329" spans="1:26" ht="14.1" customHeight="1">
      <c r="A1329" s="144">
        <v>1367</v>
      </c>
      <c r="B1329" s="659" t="s">
        <v>234</v>
      </c>
      <c r="C1329" s="659" t="s">
        <v>514</v>
      </c>
      <c r="D1329" s="666" t="s">
        <v>98</v>
      </c>
      <c r="E1329" s="716" t="s">
        <v>295</v>
      </c>
      <c r="F1329" s="659" t="s">
        <v>404</v>
      </c>
      <c r="G1329" s="658" t="s">
        <v>286</v>
      </c>
      <c r="H1329" s="662" t="s">
        <v>100</v>
      </c>
      <c r="I1329" s="582" t="str">
        <f>VLOOKUP(H1329,'9a-Typen vloeren'!$A$10:$B$40,2,FALSE)</f>
        <v>Sprayen/ conserveren</v>
      </c>
      <c r="J1329" s="654">
        <v>14.199999809265137</v>
      </c>
      <c r="K1329" s="433">
        <f t="shared" ref="K1329:K1355" si="108">IF(G1329="niet in onderhoud",0,IF(I1329="sprayen/ conserveren",J1329,0))</f>
        <v>14.199999809265137</v>
      </c>
      <c r="L1329" s="433">
        <f t="shared" ref="L1329:L1355" si="109">IF(G1329="niet in onderhoud",0,IF(I1329="schrobben",J1329,0))</f>
        <v>0</v>
      </c>
      <c r="M1329" s="433">
        <f t="shared" ref="M1329:M1355" si="110">IF(G1329="niet in onderhoud",0,IF(I1329="Sproei/extraheren",J1329,0))</f>
        <v>0</v>
      </c>
      <c r="N1329" s="672">
        <v>2</v>
      </c>
      <c r="O1329" s="729" t="e">
        <f>IF(N1329="",0,N1329*K1329/'9b-Vloeronderhoud'!$F$4)</f>
        <v>#DIV/0!</v>
      </c>
      <c r="P1329" s="672"/>
      <c r="Q1329" s="729" t="e">
        <f>IF(O1329="",0,P1329*L1329/'9b-Vloeronderhoud'!$F$6)</f>
        <v>#DIV/0!</v>
      </c>
      <c r="R1329" s="449">
        <v>1</v>
      </c>
      <c r="S1329" s="672">
        <v>120</v>
      </c>
      <c r="T1329" s="161" t="e">
        <f t="shared" si="106"/>
        <v>#DIV/0!</v>
      </c>
      <c r="U1329" s="162">
        <f>IF(S1329="nio",0,IF(S1329&gt;0,VLOOKUP(G1329,'3-Productie normen'!A:K,VLOOKUP(S1329,'3-Productie normen'!L:N,3,FALSE),FALSE)))</f>
        <v>0</v>
      </c>
      <c r="V1329" s="162">
        <f>VLOOKUP(G1329,'3-Productie normen'!A:K,10,FALSE)</f>
        <v>6152.9500017547598</v>
      </c>
      <c r="W1329" s="163">
        <f>VLOOKUP(G1329,'3-Productie normen'!A:K,11,FALSE)</f>
        <v>0</v>
      </c>
      <c r="X1329" s="163"/>
      <c r="Z1329" s="129">
        <f t="shared" si="107"/>
        <v>1703.9999771118164</v>
      </c>
    </row>
    <row r="1330" spans="1:26" ht="14.1" customHeight="1">
      <c r="A1330" s="144">
        <v>1368</v>
      </c>
      <c r="B1330" s="659" t="s">
        <v>234</v>
      </c>
      <c r="C1330" s="659" t="s">
        <v>514</v>
      </c>
      <c r="D1330" s="666" t="s">
        <v>98</v>
      </c>
      <c r="E1330" s="716" t="s">
        <v>296</v>
      </c>
      <c r="F1330" s="659" t="s">
        <v>297</v>
      </c>
      <c r="G1330" s="658" t="s">
        <v>189</v>
      </c>
      <c r="H1330" s="662" t="s">
        <v>100</v>
      </c>
      <c r="I1330" s="582" t="str">
        <f>VLOOKUP(H1330,'9a-Typen vloeren'!$A$10:$B$40,2,FALSE)</f>
        <v>Sprayen/ conserveren</v>
      </c>
      <c r="J1330" s="663">
        <v>25.190000534057617</v>
      </c>
      <c r="K1330" s="433">
        <f t="shared" si="108"/>
        <v>25.190000534057617</v>
      </c>
      <c r="L1330" s="433">
        <f t="shared" si="109"/>
        <v>0</v>
      </c>
      <c r="M1330" s="433">
        <f t="shared" si="110"/>
        <v>0</v>
      </c>
      <c r="N1330" s="672"/>
      <c r="O1330" s="729">
        <f>IF(N1330="",0,N1330*K1330/'9b-Vloeronderhoud'!$F$4)</f>
        <v>0</v>
      </c>
      <c r="P1330" s="672"/>
      <c r="Q1330" s="729" t="e">
        <f>IF(O1330="",0,P1330*L1330/'9b-Vloeronderhoud'!$F$6)</f>
        <v>#DIV/0!</v>
      </c>
      <c r="R1330" s="449">
        <v>1</v>
      </c>
      <c r="S1330" s="680">
        <v>40</v>
      </c>
      <c r="T1330" s="161" t="e">
        <f t="shared" si="106"/>
        <v>#DIV/0!</v>
      </c>
      <c r="U1330" s="162">
        <f>IF(S1330="nio",0,IF(S1330&gt;0,VLOOKUP(G1330,'3-Productie normen'!A:K,VLOOKUP(S1330,'3-Productie normen'!L:N,3,FALSE),FALSE)))</f>
        <v>0</v>
      </c>
      <c r="V1330" s="162">
        <f>VLOOKUP(G1330,'3-Productie normen'!A:K,10,FALSE)</f>
        <v>1494.1700078582762</v>
      </c>
      <c r="W1330" s="163">
        <f>VLOOKUP(G1330,'3-Productie normen'!A:K,11,FALSE)</f>
        <v>0</v>
      </c>
      <c r="X1330" s="163"/>
      <c r="Z1330" s="129">
        <f t="shared" si="107"/>
        <v>1007.6000213623047</v>
      </c>
    </row>
    <row r="1331" spans="1:26" ht="14.1" customHeight="1">
      <c r="A1331" s="144">
        <v>1369</v>
      </c>
      <c r="B1331" s="659" t="s">
        <v>234</v>
      </c>
      <c r="C1331" s="659" t="s">
        <v>514</v>
      </c>
      <c r="D1331" s="666" t="s">
        <v>98</v>
      </c>
      <c r="E1331" s="716" t="s">
        <v>298</v>
      </c>
      <c r="F1331" s="659" t="s">
        <v>852</v>
      </c>
      <c r="G1331" s="658" t="s">
        <v>286</v>
      </c>
      <c r="H1331" s="662" t="s">
        <v>100</v>
      </c>
      <c r="I1331" s="582" t="str">
        <f>VLOOKUP(H1331,'9a-Typen vloeren'!$A$10:$B$40,2,FALSE)</f>
        <v>Sprayen/ conserveren</v>
      </c>
      <c r="J1331" s="654">
        <v>50</v>
      </c>
      <c r="K1331" s="433">
        <f t="shared" si="108"/>
        <v>50</v>
      </c>
      <c r="L1331" s="433">
        <f t="shared" si="109"/>
        <v>0</v>
      </c>
      <c r="M1331" s="433">
        <f t="shared" si="110"/>
        <v>0</v>
      </c>
      <c r="N1331" s="672">
        <v>2</v>
      </c>
      <c r="O1331" s="729" t="e">
        <f>IF(N1331="",0,N1331*K1331/'9b-Vloeronderhoud'!$F$4)</f>
        <v>#DIV/0!</v>
      </c>
      <c r="P1331" s="672"/>
      <c r="Q1331" s="729" t="e">
        <f>IF(O1331="",0,P1331*L1331/'9b-Vloeronderhoud'!$F$6)</f>
        <v>#DIV/0!</v>
      </c>
      <c r="R1331" s="449">
        <v>1</v>
      </c>
      <c r="S1331" s="672">
        <v>120</v>
      </c>
      <c r="T1331" s="161" t="e">
        <f t="shared" si="106"/>
        <v>#DIV/0!</v>
      </c>
      <c r="U1331" s="162">
        <f>IF(S1331="nio",0,IF(S1331&gt;0,VLOOKUP(G1331,'3-Productie normen'!A:K,VLOOKUP(S1331,'3-Productie normen'!L:N,3,FALSE),FALSE)))</f>
        <v>0</v>
      </c>
      <c r="V1331" s="162">
        <f>VLOOKUP(G1331,'3-Productie normen'!A:K,10,FALSE)</f>
        <v>6152.9500017547598</v>
      </c>
      <c r="W1331" s="163">
        <f>VLOOKUP(G1331,'3-Productie normen'!A:K,11,FALSE)</f>
        <v>0</v>
      </c>
      <c r="X1331" s="163"/>
      <c r="Z1331" s="129">
        <f t="shared" si="107"/>
        <v>6000</v>
      </c>
    </row>
    <row r="1332" spans="1:26" ht="14.1" customHeight="1">
      <c r="A1332" s="144">
        <v>1370</v>
      </c>
      <c r="B1332" s="659" t="s">
        <v>234</v>
      </c>
      <c r="C1332" s="659" t="s">
        <v>514</v>
      </c>
      <c r="D1332" s="666" t="s">
        <v>98</v>
      </c>
      <c r="E1332" s="716" t="s">
        <v>300</v>
      </c>
      <c r="F1332" s="659" t="s">
        <v>287</v>
      </c>
      <c r="G1332" s="658" t="s">
        <v>287</v>
      </c>
      <c r="H1332" s="662" t="s">
        <v>378</v>
      </c>
      <c r="I1332" s="582" t="str">
        <f>VLOOKUP(H1332,'9a-Typen vloeren'!$A$10:$B$40,2,FALSE)</f>
        <v>n.v.t.</v>
      </c>
      <c r="J1332" s="654">
        <v>44.900001525878906</v>
      </c>
      <c r="K1332" s="433">
        <f t="shared" si="108"/>
        <v>0</v>
      </c>
      <c r="L1332" s="433">
        <f t="shared" si="109"/>
        <v>0</v>
      </c>
      <c r="M1332" s="433">
        <f t="shared" si="110"/>
        <v>0</v>
      </c>
      <c r="N1332" s="672"/>
      <c r="O1332" s="729">
        <f>IF(N1332="",0,N1332*K1332/'9b-Vloeronderhoud'!$F$4)</f>
        <v>0</v>
      </c>
      <c r="P1332" s="672"/>
      <c r="Q1332" s="729" t="e">
        <f>IF(O1332="",0,P1332*L1332/'9b-Vloeronderhoud'!$F$6)</f>
        <v>#DIV/0!</v>
      </c>
      <c r="R1332" s="449">
        <v>1</v>
      </c>
      <c r="S1332" s="679">
        <v>80</v>
      </c>
      <c r="T1332" s="161" t="e">
        <f t="shared" si="106"/>
        <v>#DIV/0!</v>
      </c>
      <c r="U1332" s="162">
        <f>IF(S1332="nio",0,IF(S1332&gt;0,VLOOKUP(G1332,'3-Productie normen'!A:K,VLOOKUP(S1332,'3-Productie normen'!L:N,3,FALSE),FALSE)))</f>
        <v>0</v>
      </c>
      <c r="V1332" s="162">
        <f>VLOOKUP(G1332,'3-Productie normen'!A:K,10,FALSE)</f>
        <v>519.460002565384</v>
      </c>
      <c r="W1332" s="163">
        <f>VLOOKUP(G1332,'3-Productie normen'!A:K,11,FALSE)</f>
        <v>0</v>
      </c>
      <c r="X1332" s="163"/>
      <c r="Z1332" s="129">
        <f t="shared" si="107"/>
        <v>3592.0001220703125</v>
      </c>
    </row>
    <row r="1333" spans="1:26" ht="14.1" customHeight="1">
      <c r="A1333" s="144">
        <v>1371</v>
      </c>
      <c r="B1333" s="659" t="s">
        <v>234</v>
      </c>
      <c r="C1333" s="659" t="s">
        <v>514</v>
      </c>
      <c r="D1333" s="666" t="s">
        <v>98</v>
      </c>
      <c r="E1333" s="716" t="s">
        <v>301</v>
      </c>
      <c r="F1333" s="659" t="s">
        <v>285</v>
      </c>
      <c r="G1333" s="667" t="s">
        <v>285</v>
      </c>
      <c r="H1333" s="662" t="s">
        <v>100</v>
      </c>
      <c r="I1333" s="582" t="str">
        <f>VLOOKUP(H1333,'9a-Typen vloeren'!$A$10:$B$40,2,FALSE)</f>
        <v>Sprayen/ conserveren</v>
      </c>
      <c r="J1333" s="654">
        <v>49.200000762939453</v>
      </c>
      <c r="K1333" s="433">
        <f t="shared" si="108"/>
        <v>49.200000762939453</v>
      </c>
      <c r="L1333" s="433">
        <f t="shared" si="109"/>
        <v>0</v>
      </c>
      <c r="M1333" s="433">
        <f t="shared" si="110"/>
        <v>0</v>
      </c>
      <c r="N1333" s="672"/>
      <c r="O1333" s="729">
        <f>IF(N1333="",0,N1333*K1333/'9b-Vloeronderhoud'!$F$4)</f>
        <v>0</v>
      </c>
      <c r="P1333" s="672"/>
      <c r="Q1333" s="729" t="e">
        <f>IF(O1333="",0,P1333*L1333/'9b-Vloeronderhoud'!$F$6)</f>
        <v>#DIV/0!</v>
      </c>
      <c r="R1333" s="449">
        <v>1</v>
      </c>
      <c r="S1333" s="672">
        <v>190</v>
      </c>
      <c r="T1333" s="161" t="e">
        <f t="shared" si="106"/>
        <v>#DIV/0!</v>
      </c>
      <c r="U1333" s="162">
        <f>IF(S1333="nio",0,IF(S1333&gt;0,VLOOKUP(G1333,'3-Productie normen'!A:K,VLOOKUP(S1333,'3-Productie normen'!L:N,3,FALSE),FALSE)))</f>
        <v>0</v>
      </c>
      <c r="V1333" s="162">
        <f>VLOOKUP(G1333,'3-Productie normen'!A:K,10,FALSE)</f>
        <v>3305.8200070953367</v>
      </c>
      <c r="W1333" s="163">
        <f>VLOOKUP(G1333,'3-Productie normen'!A:K,11,FALSE)</f>
        <v>0</v>
      </c>
      <c r="X1333" s="163"/>
      <c r="Z1333" s="129">
        <f t="shared" si="107"/>
        <v>9348.0001449584961</v>
      </c>
    </row>
    <row r="1334" spans="1:26" ht="14.1" customHeight="1">
      <c r="A1334" s="144">
        <v>1372</v>
      </c>
      <c r="B1334" s="659" t="s">
        <v>234</v>
      </c>
      <c r="C1334" s="659" t="s">
        <v>514</v>
      </c>
      <c r="D1334" s="666" t="s">
        <v>98</v>
      </c>
      <c r="E1334" s="716" t="s">
        <v>303</v>
      </c>
      <c r="F1334" s="659" t="s">
        <v>365</v>
      </c>
      <c r="G1334" s="658" t="s">
        <v>189</v>
      </c>
      <c r="H1334" s="662" t="s">
        <v>100</v>
      </c>
      <c r="I1334" s="582" t="str">
        <f>VLOOKUP(H1334,'9a-Typen vloeren'!$A$10:$B$40,2,FALSE)</f>
        <v>Sprayen/ conserveren</v>
      </c>
      <c r="J1334" s="654">
        <v>13.850000381469727</v>
      </c>
      <c r="K1334" s="433">
        <f t="shared" si="108"/>
        <v>13.850000381469727</v>
      </c>
      <c r="L1334" s="433">
        <f t="shared" si="109"/>
        <v>0</v>
      </c>
      <c r="M1334" s="433">
        <f t="shared" si="110"/>
        <v>0</v>
      </c>
      <c r="N1334" s="672"/>
      <c r="O1334" s="729">
        <f>IF(N1334="",0,N1334*K1334/'9b-Vloeronderhoud'!$F$4)</f>
        <v>0</v>
      </c>
      <c r="P1334" s="672"/>
      <c r="Q1334" s="729" t="e">
        <f>IF(O1334="",0,P1334*L1334/'9b-Vloeronderhoud'!$F$6)</f>
        <v>#DIV/0!</v>
      </c>
      <c r="R1334" s="449">
        <v>1</v>
      </c>
      <c r="S1334" s="675">
        <v>40</v>
      </c>
      <c r="T1334" s="161" t="e">
        <f t="shared" si="106"/>
        <v>#DIV/0!</v>
      </c>
      <c r="U1334" s="162">
        <f>IF(S1334="nio",0,IF(S1334&gt;0,VLOOKUP(G1334,'3-Productie normen'!A:K,VLOOKUP(S1334,'3-Productie normen'!L:N,3,FALSE),FALSE)))</f>
        <v>0</v>
      </c>
      <c r="V1334" s="162">
        <f>VLOOKUP(G1334,'3-Productie normen'!A:K,10,FALSE)</f>
        <v>1494.1700078582762</v>
      </c>
      <c r="W1334" s="163">
        <f>VLOOKUP(G1334,'3-Productie normen'!A:K,11,FALSE)</f>
        <v>0</v>
      </c>
      <c r="X1334" s="163"/>
      <c r="Z1334" s="129">
        <f t="shared" si="107"/>
        <v>554.00001525878906</v>
      </c>
    </row>
    <row r="1335" spans="1:26" ht="14.1" customHeight="1">
      <c r="A1335" s="144">
        <v>1373</v>
      </c>
      <c r="B1335" s="659" t="s">
        <v>234</v>
      </c>
      <c r="C1335" s="659" t="s">
        <v>514</v>
      </c>
      <c r="D1335" s="666" t="s">
        <v>98</v>
      </c>
      <c r="E1335" s="716" t="s">
        <v>305</v>
      </c>
      <c r="F1335" s="659" t="s">
        <v>302</v>
      </c>
      <c r="G1335" s="658" t="s">
        <v>18</v>
      </c>
      <c r="H1335" s="662" t="s">
        <v>335</v>
      </c>
      <c r="I1335" s="582" t="str">
        <f>VLOOKUP(H1335,'9a-Typen vloeren'!$A$10:$B$40,2,FALSE)</f>
        <v>Schrobben</v>
      </c>
      <c r="J1335" s="654">
        <v>3.5999999046325684</v>
      </c>
      <c r="K1335" s="433">
        <f t="shared" si="108"/>
        <v>0</v>
      </c>
      <c r="L1335" s="433">
        <f t="shared" si="109"/>
        <v>3.5999999046325684</v>
      </c>
      <c r="M1335" s="433">
        <f t="shared" si="110"/>
        <v>0</v>
      </c>
      <c r="N1335" s="672"/>
      <c r="O1335" s="729">
        <f>IF(N1335="",0,N1335*K1335/'9b-Vloeronderhoud'!$F$4)</f>
        <v>0</v>
      </c>
      <c r="P1335" s="672"/>
      <c r="Q1335" s="729" t="e">
        <f>IF(O1335="",0,P1335*L1335/'9b-Vloeronderhoud'!$F$6)</f>
        <v>#DIV/0!</v>
      </c>
      <c r="R1335" s="449">
        <v>1</v>
      </c>
      <c r="S1335" s="672">
        <v>190</v>
      </c>
      <c r="T1335" s="161" t="e">
        <f t="shared" si="106"/>
        <v>#DIV/0!</v>
      </c>
      <c r="U1335" s="162">
        <f>IF(S1335="nio",0,IF(S1335&gt;0,VLOOKUP(G1335,'3-Productie normen'!A:K,VLOOKUP(S1335,'3-Productie normen'!L:N,3,FALSE),FALSE)))</f>
        <v>0</v>
      </c>
      <c r="V1335" s="162">
        <f>VLOOKUP(G1335,'3-Productie normen'!A:K,10,FALSE)</f>
        <v>1859.5880019121171</v>
      </c>
      <c r="W1335" s="163">
        <f>VLOOKUP(G1335,'3-Productie normen'!A:K,11,FALSE)</f>
        <v>0</v>
      </c>
      <c r="X1335" s="163"/>
      <c r="Z1335" s="129">
        <f t="shared" si="107"/>
        <v>683.99998188018799</v>
      </c>
    </row>
    <row r="1336" spans="1:26" ht="14.1" customHeight="1">
      <c r="A1336" s="144">
        <v>1374</v>
      </c>
      <c r="B1336" s="659" t="s">
        <v>234</v>
      </c>
      <c r="C1336" s="659" t="s">
        <v>514</v>
      </c>
      <c r="D1336" s="666" t="s">
        <v>98</v>
      </c>
      <c r="E1336" s="716" t="s">
        <v>306</v>
      </c>
      <c r="F1336" s="659" t="s">
        <v>302</v>
      </c>
      <c r="G1336" s="658" t="s">
        <v>18</v>
      </c>
      <c r="H1336" s="662" t="s">
        <v>335</v>
      </c>
      <c r="I1336" s="582" t="str">
        <f>VLOOKUP(H1336,'9a-Typen vloeren'!$A$10:$B$40,2,FALSE)</f>
        <v>Schrobben</v>
      </c>
      <c r="J1336" s="654">
        <v>5.6999998092651367</v>
      </c>
      <c r="K1336" s="433">
        <f t="shared" si="108"/>
        <v>0</v>
      </c>
      <c r="L1336" s="433">
        <f t="shared" si="109"/>
        <v>5.6999998092651367</v>
      </c>
      <c r="M1336" s="433">
        <f t="shared" si="110"/>
        <v>0</v>
      </c>
      <c r="N1336" s="672"/>
      <c r="O1336" s="729">
        <f>IF(N1336="",0,N1336*K1336/'9b-Vloeronderhoud'!$F$4)</f>
        <v>0</v>
      </c>
      <c r="P1336" s="672"/>
      <c r="Q1336" s="729" t="e">
        <f>IF(O1336="",0,P1336*L1336/'9b-Vloeronderhoud'!$F$6)</f>
        <v>#DIV/0!</v>
      </c>
      <c r="R1336" s="449">
        <v>1</v>
      </c>
      <c r="S1336" s="672">
        <v>190</v>
      </c>
      <c r="T1336" s="161" t="e">
        <f t="shared" si="106"/>
        <v>#DIV/0!</v>
      </c>
      <c r="U1336" s="162">
        <f>IF(S1336="nio",0,IF(S1336&gt;0,VLOOKUP(G1336,'3-Productie normen'!A:K,VLOOKUP(S1336,'3-Productie normen'!L:N,3,FALSE),FALSE)))</f>
        <v>0</v>
      </c>
      <c r="V1336" s="162">
        <f>VLOOKUP(G1336,'3-Productie normen'!A:K,10,FALSE)</f>
        <v>1859.5880019121171</v>
      </c>
      <c r="W1336" s="163">
        <f>VLOOKUP(G1336,'3-Productie normen'!A:K,11,FALSE)</f>
        <v>0</v>
      </c>
      <c r="X1336" s="163"/>
      <c r="Z1336" s="129">
        <f t="shared" si="107"/>
        <v>1082.999963760376</v>
      </c>
    </row>
    <row r="1337" spans="1:26" ht="14.1" customHeight="1">
      <c r="A1337" s="144">
        <v>1375</v>
      </c>
      <c r="B1337" s="659" t="s">
        <v>234</v>
      </c>
      <c r="C1337" s="659" t="s">
        <v>514</v>
      </c>
      <c r="D1337" s="666" t="s">
        <v>98</v>
      </c>
      <c r="E1337" s="716" t="s">
        <v>307</v>
      </c>
      <c r="F1337" s="659" t="s">
        <v>221</v>
      </c>
      <c r="G1337" s="658" t="s">
        <v>221</v>
      </c>
      <c r="H1337" s="662" t="s">
        <v>100</v>
      </c>
      <c r="I1337" s="582" t="str">
        <f>VLOOKUP(H1337,'9a-Typen vloeren'!$A$10:$B$40,2,FALSE)</f>
        <v>Sprayen/ conserveren</v>
      </c>
      <c r="J1337" s="654">
        <v>54.200000762939453</v>
      </c>
      <c r="K1337" s="433">
        <f t="shared" si="108"/>
        <v>54.200000762939453</v>
      </c>
      <c r="L1337" s="433">
        <f t="shared" si="109"/>
        <v>0</v>
      </c>
      <c r="M1337" s="433">
        <f t="shared" si="110"/>
        <v>0</v>
      </c>
      <c r="N1337" s="672"/>
      <c r="O1337" s="729">
        <f>IF(N1337="",0,N1337*K1337/'9b-Vloeronderhoud'!$F$4)</f>
        <v>0</v>
      </c>
      <c r="P1337" s="672"/>
      <c r="Q1337" s="729" t="e">
        <f>IF(O1337="",0,P1337*L1337/'9b-Vloeronderhoud'!$F$6)</f>
        <v>#DIV/0!</v>
      </c>
      <c r="R1337" s="449">
        <v>1</v>
      </c>
      <c r="S1337" s="672">
        <v>80</v>
      </c>
      <c r="T1337" s="161" t="e">
        <f t="shared" si="106"/>
        <v>#DIV/0!</v>
      </c>
      <c r="U1337" s="162">
        <f>IF(S1337="nio",0,IF(S1337&gt;0,VLOOKUP(G1337,'3-Productie normen'!A:K,VLOOKUP(S1337,'3-Productie normen'!L:N,3,FALSE),FALSE)))</f>
        <v>0</v>
      </c>
      <c r="V1337" s="162">
        <f>VLOOKUP(G1337,'3-Productie normen'!A:K,10,FALSE)</f>
        <v>16013.110036668773</v>
      </c>
      <c r="W1337" s="163">
        <f>VLOOKUP(G1337,'3-Productie normen'!A:K,11,FALSE)</f>
        <v>0</v>
      </c>
      <c r="X1337" s="163"/>
      <c r="Z1337" s="129">
        <f t="shared" si="107"/>
        <v>4336.0000610351563</v>
      </c>
    </row>
    <row r="1338" spans="1:26" ht="14.1" customHeight="1">
      <c r="A1338" s="144">
        <v>1376</v>
      </c>
      <c r="B1338" s="659" t="s">
        <v>234</v>
      </c>
      <c r="C1338" s="659" t="s">
        <v>514</v>
      </c>
      <c r="D1338" s="666" t="s">
        <v>98</v>
      </c>
      <c r="E1338" s="716" t="s">
        <v>309</v>
      </c>
      <c r="F1338" s="659" t="s">
        <v>285</v>
      </c>
      <c r="G1338" s="667" t="s">
        <v>285</v>
      </c>
      <c r="H1338" s="662" t="s">
        <v>100</v>
      </c>
      <c r="I1338" s="582" t="str">
        <f>VLOOKUP(H1338,'9a-Typen vloeren'!$A$10:$B$40,2,FALSE)</f>
        <v>Sprayen/ conserveren</v>
      </c>
      <c r="J1338" s="654">
        <v>54.200000762939453</v>
      </c>
      <c r="K1338" s="433">
        <f t="shared" si="108"/>
        <v>54.200000762939453</v>
      </c>
      <c r="L1338" s="433">
        <f t="shared" si="109"/>
        <v>0</v>
      </c>
      <c r="M1338" s="433">
        <f t="shared" si="110"/>
        <v>0</v>
      </c>
      <c r="N1338" s="672"/>
      <c r="O1338" s="729">
        <f>IF(N1338="",0,N1338*K1338/'9b-Vloeronderhoud'!$F$4)</f>
        <v>0</v>
      </c>
      <c r="P1338" s="672"/>
      <c r="Q1338" s="729" t="e">
        <f>IF(O1338="",0,P1338*L1338/'9b-Vloeronderhoud'!$F$6)</f>
        <v>#DIV/0!</v>
      </c>
      <c r="R1338" s="449">
        <v>1</v>
      </c>
      <c r="S1338" s="672">
        <v>190</v>
      </c>
      <c r="T1338" s="161" t="e">
        <f t="shared" si="106"/>
        <v>#DIV/0!</v>
      </c>
      <c r="U1338" s="162">
        <f>IF(S1338="nio",0,IF(S1338&gt;0,VLOOKUP(G1338,'3-Productie normen'!A:K,VLOOKUP(S1338,'3-Productie normen'!L:N,3,FALSE),FALSE)))</f>
        <v>0</v>
      </c>
      <c r="V1338" s="162">
        <f>VLOOKUP(G1338,'3-Productie normen'!A:K,10,FALSE)</f>
        <v>3305.8200070953367</v>
      </c>
      <c r="W1338" s="163">
        <f>VLOOKUP(G1338,'3-Productie normen'!A:K,11,FALSE)</f>
        <v>0</v>
      </c>
      <c r="X1338" s="163"/>
      <c r="Z1338" s="129">
        <f t="shared" si="107"/>
        <v>10298.000144958496</v>
      </c>
    </row>
    <row r="1339" spans="1:26" ht="14.1" customHeight="1">
      <c r="A1339" s="144">
        <v>1377</v>
      </c>
      <c r="B1339" s="659" t="s">
        <v>234</v>
      </c>
      <c r="C1339" s="659" t="s">
        <v>514</v>
      </c>
      <c r="D1339" s="666" t="s">
        <v>98</v>
      </c>
      <c r="E1339" s="716" t="s">
        <v>311</v>
      </c>
      <c r="F1339" s="659" t="s">
        <v>365</v>
      </c>
      <c r="G1339" s="658" t="s">
        <v>189</v>
      </c>
      <c r="H1339" s="662" t="s">
        <v>100</v>
      </c>
      <c r="I1339" s="582" t="str">
        <f>VLOOKUP(H1339,'9a-Typen vloeren'!$A$10:$B$40,2,FALSE)</f>
        <v>Sprayen/ conserveren</v>
      </c>
      <c r="J1339" s="654">
        <v>13.850000381469727</v>
      </c>
      <c r="K1339" s="433">
        <f t="shared" si="108"/>
        <v>13.850000381469727</v>
      </c>
      <c r="L1339" s="433">
        <f t="shared" si="109"/>
        <v>0</v>
      </c>
      <c r="M1339" s="433">
        <f t="shared" si="110"/>
        <v>0</v>
      </c>
      <c r="N1339" s="672"/>
      <c r="O1339" s="729">
        <f>IF(N1339="",0,N1339*K1339/'9b-Vloeronderhoud'!$F$4)</f>
        <v>0</v>
      </c>
      <c r="P1339" s="672"/>
      <c r="Q1339" s="729" t="e">
        <f>IF(O1339="",0,P1339*L1339/'9b-Vloeronderhoud'!$F$6)</f>
        <v>#DIV/0!</v>
      </c>
      <c r="R1339" s="449">
        <v>1</v>
      </c>
      <c r="S1339" s="675">
        <v>40</v>
      </c>
      <c r="T1339" s="161" t="e">
        <f t="shared" si="106"/>
        <v>#DIV/0!</v>
      </c>
      <c r="U1339" s="162">
        <f>IF(S1339="nio",0,IF(S1339&gt;0,VLOOKUP(G1339,'3-Productie normen'!A:K,VLOOKUP(S1339,'3-Productie normen'!L:N,3,FALSE),FALSE)))</f>
        <v>0</v>
      </c>
      <c r="V1339" s="162">
        <f>VLOOKUP(G1339,'3-Productie normen'!A:K,10,FALSE)</f>
        <v>1494.1700078582762</v>
      </c>
      <c r="W1339" s="163">
        <f>VLOOKUP(G1339,'3-Productie normen'!A:K,11,FALSE)</f>
        <v>0</v>
      </c>
      <c r="X1339" s="163"/>
      <c r="Z1339" s="129">
        <f t="shared" si="107"/>
        <v>554.00001525878906</v>
      </c>
    </row>
    <row r="1340" spans="1:26" ht="14.1" customHeight="1">
      <c r="A1340" s="144">
        <v>1378</v>
      </c>
      <c r="B1340" s="659" t="s">
        <v>234</v>
      </c>
      <c r="C1340" s="659" t="s">
        <v>514</v>
      </c>
      <c r="D1340" s="666" t="s">
        <v>98</v>
      </c>
      <c r="E1340" s="716" t="s">
        <v>312</v>
      </c>
      <c r="F1340" s="659" t="s">
        <v>302</v>
      </c>
      <c r="G1340" s="658" t="s">
        <v>18</v>
      </c>
      <c r="H1340" s="662" t="s">
        <v>335</v>
      </c>
      <c r="I1340" s="582" t="str">
        <f>VLOOKUP(H1340,'9a-Typen vloeren'!$A$10:$B$40,2,FALSE)</f>
        <v>Schrobben</v>
      </c>
      <c r="J1340" s="654">
        <v>8.8000001907348633</v>
      </c>
      <c r="K1340" s="433">
        <f t="shared" si="108"/>
        <v>0</v>
      </c>
      <c r="L1340" s="433">
        <f t="shared" si="109"/>
        <v>8.8000001907348633</v>
      </c>
      <c r="M1340" s="433">
        <f t="shared" si="110"/>
        <v>0</v>
      </c>
      <c r="N1340" s="672"/>
      <c r="O1340" s="729">
        <f>IF(N1340="",0,N1340*K1340/'9b-Vloeronderhoud'!$F$4)</f>
        <v>0</v>
      </c>
      <c r="P1340" s="672"/>
      <c r="Q1340" s="729" t="e">
        <f>IF(O1340="",0,P1340*L1340/'9b-Vloeronderhoud'!$F$6)</f>
        <v>#DIV/0!</v>
      </c>
      <c r="R1340" s="449">
        <v>1</v>
      </c>
      <c r="S1340" s="672">
        <v>190</v>
      </c>
      <c r="T1340" s="161" t="e">
        <f t="shared" si="106"/>
        <v>#DIV/0!</v>
      </c>
      <c r="U1340" s="162">
        <f>IF(S1340="nio",0,IF(S1340&gt;0,VLOOKUP(G1340,'3-Productie normen'!A:K,VLOOKUP(S1340,'3-Productie normen'!L:N,3,FALSE),FALSE)))</f>
        <v>0</v>
      </c>
      <c r="V1340" s="162">
        <f>VLOOKUP(G1340,'3-Productie normen'!A:K,10,FALSE)</f>
        <v>1859.5880019121171</v>
      </c>
      <c r="W1340" s="163">
        <f>VLOOKUP(G1340,'3-Productie normen'!A:K,11,FALSE)</f>
        <v>0</v>
      </c>
      <c r="X1340" s="163"/>
      <c r="Z1340" s="129">
        <f t="shared" si="107"/>
        <v>1672.000036239624</v>
      </c>
    </row>
    <row r="1341" spans="1:26" ht="14.1" customHeight="1">
      <c r="A1341" s="144">
        <v>1379</v>
      </c>
      <c r="B1341" s="659" t="s">
        <v>234</v>
      </c>
      <c r="C1341" s="659" t="s">
        <v>514</v>
      </c>
      <c r="D1341" s="666" t="s">
        <v>98</v>
      </c>
      <c r="E1341" s="716" t="s">
        <v>314</v>
      </c>
      <c r="F1341" s="659" t="s">
        <v>285</v>
      </c>
      <c r="G1341" s="667" t="s">
        <v>285</v>
      </c>
      <c r="H1341" s="662" t="s">
        <v>100</v>
      </c>
      <c r="I1341" s="582" t="str">
        <f>VLOOKUP(H1341,'9a-Typen vloeren'!$A$10:$B$40,2,FALSE)</f>
        <v>Sprayen/ conserveren</v>
      </c>
      <c r="J1341" s="654">
        <v>61.75</v>
      </c>
      <c r="K1341" s="433">
        <f t="shared" si="108"/>
        <v>61.75</v>
      </c>
      <c r="L1341" s="433">
        <f t="shared" si="109"/>
        <v>0</v>
      </c>
      <c r="M1341" s="433">
        <f t="shared" si="110"/>
        <v>0</v>
      </c>
      <c r="N1341" s="672"/>
      <c r="O1341" s="729">
        <f>IF(N1341="",0,N1341*K1341/'9b-Vloeronderhoud'!$F$4)</f>
        <v>0</v>
      </c>
      <c r="P1341" s="672"/>
      <c r="Q1341" s="729" t="e">
        <f>IF(O1341="",0,P1341*L1341/'9b-Vloeronderhoud'!$F$6)</f>
        <v>#DIV/0!</v>
      </c>
      <c r="R1341" s="449">
        <v>1</v>
      </c>
      <c r="S1341" s="672">
        <v>190</v>
      </c>
      <c r="T1341" s="161" t="e">
        <f t="shared" si="106"/>
        <v>#DIV/0!</v>
      </c>
      <c r="U1341" s="162">
        <f>IF(S1341="nio",0,IF(S1341&gt;0,VLOOKUP(G1341,'3-Productie normen'!A:K,VLOOKUP(S1341,'3-Productie normen'!L:N,3,FALSE),FALSE)))</f>
        <v>0</v>
      </c>
      <c r="V1341" s="162">
        <f>VLOOKUP(G1341,'3-Productie normen'!A:K,10,FALSE)</f>
        <v>3305.8200070953367</v>
      </c>
      <c r="W1341" s="163">
        <f>VLOOKUP(G1341,'3-Productie normen'!A:K,11,FALSE)</f>
        <v>0</v>
      </c>
      <c r="X1341" s="163"/>
      <c r="Z1341" s="129">
        <f t="shared" si="107"/>
        <v>11732.5</v>
      </c>
    </row>
    <row r="1342" spans="1:26" ht="14.1" customHeight="1">
      <c r="A1342" s="144">
        <v>1380</v>
      </c>
      <c r="B1342" s="659" t="s">
        <v>234</v>
      </c>
      <c r="C1342" s="659" t="s">
        <v>514</v>
      </c>
      <c r="D1342" s="666">
        <v>1</v>
      </c>
      <c r="E1342" s="716" t="s">
        <v>351</v>
      </c>
      <c r="F1342" s="659" t="s">
        <v>853</v>
      </c>
      <c r="G1342" s="658" t="s">
        <v>286</v>
      </c>
      <c r="H1342" s="662" t="s">
        <v>100</v>
      </c>
      <c r="I1342" s="582" t="str">
        <f>VLOOKUP(H1342,'9a-Typen vloeren'!$A$10:$B$40,2,FALSE)</f>
        <v>Sprayen/ conserveren</v>
      </c>
      <c r="J1342" s="654">
        <v>76.150001525878906</v>
      </c>
      <c r="K1342" s="433">
        <f t="shared" si="108"/>
        <v>76.150001525878906</v>
      </c>
      <c r="L1342" s="433">
        <f t="shared" si="109"/>
        <v>0</v>
      </c>
      <c r="M1342" s="433">
        <f t="shared" si="110"/>
        <v>0</v>
      </c>
      <c r="N1342" s="672">
        <v>2</v>
      </c>
      <c r="O1342" s="729" t="e">
        <f>IF(N1342="",0,N1342*K1342/'9b-Vloeronderhoud'!$F$4)</f>
        <v>#DIV/0!</v>
      </c>
      <c r="P1342" s="672"/>
      <c r="Q1342" s="729" t="e">
        <f>IF(O1342="",0,P1342*L1342/'9b-Vloeronderhoud'!$F$6)</f>
        <v>#DIV/0!</v>
      </c>
      <c r="R1342" s="449">
        <v>1</v>
      </c>
      <c r="S1342" s="672">
        <v>120</v>
      </c>
      <c r="T1342" s="161" t="e">
        <f t="shared" si="106"/>
        <v>#DIV/0!</v>
      </c>
      <c r="U1342" s="162">
        <f>IF(S1342="nio",0,IF(S1342&gt;0,VLOOKUP(G1342,'3-Productie normen'!A:K,VLOOKUP(S1342,'3-Productie normen'!L:N,3,FALSE),FALSE)))</f>
        <v>0</v>
      </c>
      <c r="V1342" s="162">
        <f>VLOOKUP(G1342,'3-Productie normen'!A:K,10,FALSE)</f>
        <v>6152.9500017547598</v>
      </c>
      <c r="W1342" s="163">
        <f>VLOOKUP(G1342,'3-Productie normen'!A:K,11,FALSE)</f>
        <v>0</v>
      </c>
      <c r="X1342" s="163"/>
      <c r="Z1342" s="129">
        <f t="shared" si="107"/>
        <v>9138.0001831054688</v>
      </c>
    </row>
    <row r="1343" spans="1:26" ht="14.1" customHeight="1">
      <c r="A1343" s="144">
        <v>1381</v>
      </c>
      <c r="B1343" s="659" t="s">
        <v>234</v>
      </c>
      <c r="C1343" s="659" t="s">
        <v>514</v>
      </c>
      <c r="D1343" s="666">
        <v>1</v>
      </c>
      <c r="E1343" s="716" t="s">
        <v>352</v>
      </c>
      <c r="F1343" s="659" t="s">
        <v>221</v>
      </c>
      <c r="G1343" s="658" t="s">
        <v>221</v>
      </c>
      <c r="H1343" s="662" t="s">
        <v>100</v>
      </c>
      <c r="I1343" s="582" t="str">
        <f>VLOOKUP(H1343,'9a-Typen vloeren'!$A$10:$B$40,2,FALSE)</f>
        <v>Sprayen/ conserveren</v>
      </c>
      <c r="J1343" s="654">
        <v>58.200000762939453</v>
      </c>
      <c r="K1343" s="433">
        <f t="shared" si="108"/>
        <v>58.200000762939453</v>
      </c>
      <c r="L1343" s="433">
        <f t="shared" si="109"/>
        <v>0</v>
      </c>
      <c r="M1343" s="433">
        <f t="shared" si="110"/>
        <v>0</v>
      </c>
      <c r="N1343" s="672"/>
      <c r="O1343" s="729">
        <f>IF(N1343="",0,N1343*K1343/'9b-Vloeronderhoud'!$F$4)</f>
        <v>0</v>
      </c>
      <c r="P1343" s="672"/>
      <c r="Q1343" s="729" t="e">
        <f>IF(O1343="",0,P1343*L1343/'9b-Vloeronderhoud'!$F$6)</f>
        <v>#DIV/0!</v>
      </c>
      <c r="R1343" s="449">
        <v>1</v>
      </c>
      <c r="S1343" s="672">
        <v>80</v>
      </c>
      <c r="T1343" s="161" t="e">
        <f t="shared" si="106"/>
        <v>#DIV/0!</v>
      </c>
      <c r="U1343" s="162">
        <f>IF(S1343="nio",0,IF(S1343&gt;0,VLOOKUP(G1343,'3-Productie normen'!A:K,VLOOKUP(S1343,'3-Productie normen'!L:N,3,FALSE),FALSE)))</f>
        <v>0</v>
      </c>
      <c r="V1343" s="162">
        <f>VLOOKUP(G1343,'3-Productie normen'!A:K,10,FALSE)</f>
        <v>16013.110036668773</v>
      </c>
      <c r="W1343" s="163">
        <f>VLOOKUP(G1343,'3-Productie normen'!A:K,11,FALSE)</f>
        <v>0</v>
      </c>
      <c r="X1343" s="163"/>
      <c r="Z1343" s="129">
        <f t="shared" si="107"/>
        <v>4656.0000610351563</v>
      </c>
    </row>
    <row r="1344" spans="1:26" ht="14.1" customHeight="1">
      <c r="A1344" s="144">
        <v>1382</v>
      </c>
      <c r="B1344" s="659" t="s">
        <v>234</v>
      </c>
      <c r="C1344" s="659" t="s">
        <v>514</v>
      </c>
      <c r="D1344" s="666">
        <v>1</v>
      </c>
      <c r="E1344" s="716" t="s">
        <v>354</v>
      </c>
      <c r="F1344" s="659" t="s">
        <v>365</v>
      </c>
      <c r="G1344" s="658" t="s">
        <v>189</v>
      </c>
      <c r="H1344" s="662" t="s">
        <v>100</v>
      </c>
      <c r="I1344" s="582" t="str">
        <f>VLOOKUP(H1344,'9a-Typen vloeren'!$A$10:$B$40,2,FALSE)</f>
        <v>Sprayen/ conserveren</v>
      </c>
      <c r="J1344" s="654">
        <v>13.850000381469727</v>
      </c>
      <c r="K1344" s="433">
        <f t="shared" si="108"/>
        <v>13.850000381469727</v>
      </c>
      <c r="L1344" s="433">
        <f t="shared" si="109"/>
        <v>0</v>
      </c>
      <c r="M1344" s="433">
        <f t="shared" si="110"/>
        <v>0</v>
      </c>
      <c r="N1344" s="672"/>
      <c r="O1344" s="729">
        <f>IF(N1344="",0,N1344*K1344/'9b-Vloeronderhoud'!$F$4)</f>
        <v>0</v>
      </c>
      <c r="P1344" s="672"/>
      <c r="Q1344" s="729" t="e">
        <f>IF(O1344="",0,P1344*L1344/'9b-Vloeronderhoud'!$F$6)</f>
        <v>#DIV/0!</v>
      </c>
      <c r="R1344" s="449">
        <v>1</v>
      </c>
      <c r="S1344" s="675">
        <v>40</v>
      </c>
      <c r="T1344" s="161" t="e">
        <f t="shared" si="106"/>
        <v>#DIV/0!</v>
      </c>
      <c r="U1344" s="162">
        <f>IF(S1344="nio",0,IF(S1344&gt;0,VLOOKUP(G1344,'3-Productie normen'!A:K,VLOOKUP(S1344,'3-Productie normen'!L:N,3,FALSE),FALSE)))</f>
        <v>0</v>
      </c>
      <c r="V1344" s="162">
        <f>VLOOKUP(G1344,'3-Productie normen'!A:K,10,FALSE)</f>
        <v>1494.1700078582762</v>
      </c>
      <c r="W1344" s="163">
        <f>VLOOKUP(G1344,'3-Productie normen'!A:K,11,FALSE)</f>
        <v>0</v>
      </c>
      <c r="X1344" s="163"/>
      <c r="Z1344" s="129">
        <f t="shared" si="107"/>
        <v>554.00001525878906</v>
      </c>
    </row>
    <row r="1345" spans="1:26" ht="14.1" customHeight="1">
      <c r="A1345" s="144">
        <v>1383</v>
      </c>
      <c r="B1345" s="659" t="s">
        <v>234</v>
      </c>
      <c r="C1345" s="659" t="s">
        <v>514</v>
      </c>
      <c r="D1345" s="666">
        <v>1</v>
      </c>
      <c r="E1345" s="716" t="s">
        <v>355</v>
      </c>
      <c r="F1345" s="659" t="s">
        <v>302</v>
      </c>
      <c r="G1345" s="658" t="s">
        <v>18</v>
      </c>
      <c r="H1345" s="662" t="s">
        <v>335</v>
      </c>
      <c r="I1345" s="582" t="str">
        <f>VLOOKUP(H1345,'9a-Typen vloeren'!$A$10:$B$40,2,FALSE)</f>
        <v>Schrobben</v>
      </c>
      <c r="J1345" s="654">
        <v>5.6999998092651367</v>
      </c>
      <c r="K1345" s="433">
        <f t="shared" si="108"/>
        <v>0</v>
      </c>
      <c r="L1345" s="433">
        <f t="shared" si="109"/>
        <v>5.6999998092651367</v>
      </c>
      <c r="M1345" s="433">
        <f t="shared" si="110"/>
        <v>0</v>
      </c>
      <c r="N1345" s="672"/>
      <c r="O1345" s="729">
        <f>IF(N1345="",0,N1345*K1345/'9b-Vloeronderhoud'!$F$4)</f>
        <v>0</v>
      </c>
      <c r="P1345" s="672"/>
      <c r="Q1345" s="729" t="e">
        <f>IF(O1345="",0,P1345*L1345/'9b-Vloeronderhoud'!$F$6)</f>
        <v>#DIV/0!</v>
      </c>
      <c r="R1345" s="449">
        <v>1</v>
      </c>
      <c r="S1345" s="672">
        <v>190</v>
      </c>
      <c r="T1345" s="161" t="e">
        <f t="shared" si="106"/>
        <v>#DIV/0!</v>
      </c>
      <c r="U1345" s="162">
        <f>IF(S1345="nio",0,IF(S1345&gt;0,VLOOKUP(G1345,'3-Productie normen'!A:K,VLOOKUP(S1345,'3-Productie normen'!L:N,3,FALSE),FALSE)))</f>
        <v>0</v>
      </c>
      <c r="V1345" s="162">
        <f>VLOOKUP(G1345,'3-Productie normen'!A:K,10,FALSE)</f>
        <v>1859.5880019121171</v>
      </c>
      <c r="W1345" s="163">
        <f>VLOOKUP(G1345,'3-Productie normen'!A:K,11,FALSE)</f>
        <v>0</v>
      </c>
      <c r="X1345" s="163"/>
      <c r="Z1345" s="129">
        <f t="shared" si="107"/>
        <v>1082.999963760376</v>
      </c>
    </row>
    <row r="1346" spans="1:26" ht="14.1" customHeight="1">
      <c r="A1346" s="144">
        <v>1384</v>
      </c>
      <c r="B1346" s="659" t="s">
        <v>234</v>
      </c>
      <c r="C1346" s="659" t="s">
        <v>514</v>
      </c>
      <c r="D1346" s="666">
        <v>1</v>
      </c>
      <c r="E1346" s="716" t="s">
        <v>356</v>
      </c>
      <c r="F1346" s="659" t="s">
        <v>302</v>
      </c>
      <c r="G1346" s="658" t="s">
        <v>18</v>
      </c>
      <c r="H1346" s="662" t="s">
        <v>335</v>
      </c>
      <c r="I1346" s="582" t="str">
        <f>VLOOKUP(H1346,'9a-Typen vloeren'!$A$10:$B$40,2,FALSE)</f>
        <v>Schrobben</v>
      </c>
      <c r="J1346" s="654">
        <v>3.5999999046325684</v>
      </c>
      <c r="K1346" s="433">
        <f t="shared" si="108"/>
        <v>0</v>
      </c>
      <c r="L1346" s="433">
        <f t="shared" si="109"/>
        <v>3.5999999046325684</v>
      </c>
      <c r="M1346" s="433">
        <f t="shared" si="110"/>
        <v>0</v>
      </c>
      <c r="N1346" s="672"/>
      <c r="O1346" s="729">
        <f>IF(N1346="",0,N1346*K1346/'9b-Vloeronderhoud'!$F$4)</f>
        <v>0</v>
      </c>
      <c r="P1346" s="672"/>
      <c r="Q1346" s="729" t="e">
        <f>IF(O1346="",0,P1346*L1346/'9b-Vloeronderhoud'!$F$6)</f>
        <v>#DIV/0!</v>
      </c>
      <c r="R1346" s="449">
        <v>1</v>
      </c>
      <c r="S1346" s="672">
        <v>190</v>
      </c>
      <c r="T1346" s="161" t="e">
        <f t="shared" si="106"/>
        <v>#DIV/0!</v>
      </c>
      <c r="U1346" s="162">
        <f>IF(S1346="nio",0,IF(S1346&gt;0,VLOOKUP(G1346,'3-Productie normen'!A:K,VLOOKUP(S1346,'3-Productie normen'!L:N,3,FALSE),FALSE)))</f>
        <v>0</v>
      </c>
      <c r="V1346" s="162">
        <f>VLOOKUP(G1346,'3-Productie normen'!A:K,10,FALSE)</f>
        <v>1859.5880019121171</v>
      </c>
      <c r="W1346" s="163">
        <f>VLOOKUP(G1346,'3-Productie normen'!A:K,11,FALSE)</f>
        <v>0</v>
      </c>
      <c r="X1346" s="163"/>
      <c r="Z1346" s="129">
        <f t="shared" si="107"/>
        <v>683.99998188018799</v>
      </c>
    </row>
    <row r="1347" spans="1:26" ht="14.1" customHeight="1">
      <c r="A1347" s="144">
        <v>1385</v>
      </c>
      <c r="B1347" s="659" t="s">
        <v>234</v>
      </c>
      <c r="C1347" s="659" t="s">
        <v>514</v>
      </c>
      <c r="D1347" s="666">
        <v>1</v>
      </c>
      <c r="E1347" s="716" t="s">
        <v>357</v>
      </c>
      <c r="F1347" s="659" t="s">
        <v>221</v>
      </c>
      <c r="G1347" s="658" t="s">
        <v>221</v>
      </c>
      <c r="H1347" s="662" t="s">
        <v>100</v>
      </c>
      <c r="I1347" s="582" t="str">
        <f>VLOOKUP(H1347,'9a-Typen vloeren'!$A$10:$B$40,2,FALSE)</f>
        <v>Sprayen/ conserveren</v>
      </c>
      <c r="J1347" s="654">
        <v>61.75</v>
      </c>
      <c r="K1347" s="433">
        <f t="shared" si="108"/>
        <v>61.75</v>
      </c>
      <c r="L1347" s="433">
        <f t="shared" si="109"/>
        <v>0</v>
      </c>
      <c r="M1347" s="433">
        <f t="shared" si="110"/>
        <v>0</v>
      </c>
      <c r="N1347" s="672"/>
      <c r="O1347" s="729">
        <f>IF(N1347="",0,N1347*K1347/'9b-Vloeronderhoud'!$F$4)</f>
        <v>0</v>
      </c>
      <c r="P1347" s="672"/>
      <c r="Q1347" s="729" t="e">
        <f>IF(O1347="",0,P1347*L1347/'9b-Vloeronderhoud'!$F$6)</f>
        <v>#DIV/0!</v>
      </c>
      <c r="R1347" s="449">
        <v>1</v>
      </c>
      <c r="S1347" s="672">
        <v>80</v>
      </c>
      <c r="T1347" s="161" t="e">
        <f t="shared" si="106"/>
        <v>#DIV/0!</v>
      </c>
      <c r="U1347" s="162">
        <f>IF(S1347="nio",0,IF(S1347&gt;0,VLOOKUP(G1347,'3-Productie normen'!A:K,VLOOKUP(S1347,'3-Productie normen'!L:N,3,FALSE),FALSE)))</f>
        <v>0</v>
      </c>
      <c r="V1347" s="162">
        <f>VLOOKUP(G1347,'3-Productie normen'!A:K,10,FALSE)</f>
        <v>16013.110036668773</v>
      </c>
      <c r="W1347" s="163">
        <f>VLOOKUP(G1347,'3-Productie normen'!A:K,11,FALSE)</f>
        <v>0</v>
      </c>
      <c r="X1347" s="163"/>
      <c r="Z1347" s="129">
        <f t="shared" si="107"/>
        <v>4940</v>
      </c>
    </row>
    <row r="1348" spans="1:26" ht="14.1" customHeight="1">
      <c r="A1348" s="144">
        <v>1386</v>
      </c>
      <c r="B1348" s="659" t="s">
        <v>234</v>
      </c>
      <c r="C1348" s="659" t="s">
        <v>514</v>
      </c>
      <c r="D1348" s="666">
        <v>1</v>
      </c>
      <c r="E1348" s="716" t="s">
        <v>358</v>
      </c>
      <c r="F1348" s="659" t="s">
        <v>567</v>
      </c>
      <c r="G1348" s="658" t="s">
        <v>221</v>
      </c>
      <c r="H1348" s="662" t="s">
        <v>100</v>
      </c>
      <c r="I1348" s="582" t="str">
        <f>VLOOKUP(H1348,'9a-Typen vloeren'!$A$10:$B$40,2,FALSE)</f>
        <v>Sprayen/ conserveren</v>
      </c>
      <c r="J1348" s="654">
        <v>97.720001220703125</v>
      </c>
      <c r="K1348" s="433">
        <f t="shared" si="108"/>
        <v>97.720001220703125</v>
      </c>
      <c r="L1348" s="433">
        <f t="shared" si="109"/>
        <v>0</v>
      </c>
      <c r="M1348" s="433">
        <f t="shared" si="110"/>
        <v>0</v>
      </c>
      <c r="N1348" s="672"/>
      <c r="O1348" s="729">
        <f>IF(N1348="",0,N1348*K1348/'9b-Vloeronderhoud'!$F$4)</f>
        <v>0</v>
      </c>
      <c r="P1348" s="672"/>
      <c r="Q1348" s="729" t="e">
        <f>IF(O1348="",0,P1348*L1348/'9b-Vloeronderhoud'!$F$6)</f>
        <v>#DIV/0!</v>
      </c>
      <c r="R1348" s="449">
        <v>1</v>
      </c>
      <c r="S1348" s="672">
        <v>80</v>
      </c>
      <c r="T1348" s="161" t="e">
        <f t="shared" si="106"/>
        <v>#DIV/0!</v>
      </c>
      <c r="U1348" s="162">
        <f>IF(S1348="nio",0,IF(S1348&gt;0,VLOOKUP(G1348,'3-Productie normen'!A:K,VLOOKUP(S1348,'3-Productie normen'!L:N,3,FALSE),FALSE)))</f>
        <v>0</v>
      </c>
      <c r="V1348" s="162">
        <f>VLOOKUP(G1348,'3-Productie normen'!A:K,10,FALSE)</f>
        <v>16013.110036668773</v>
      </c>
      <c r="W1348" s="163">
        <f>VLOOKUP(G1348,'3-Productie normen'!A:K,11,FALSE)</f>
        <v>0</v>
      </c>
      <c r="X1348" s="163"/>
      <c r="Z1348" s="129">
        <f t="shared" si="107"/>
        <v>7817.60009765625</v>
      </c>
    </row>
    <row r="1349" spans="1:26" ht="14.1" customHeight="1">
      <c r="A1349" s="144">
        <v>1387</v>
      </c>
      <c r="B1349" s="659" t="s">
        <v>234</v>
      </c>
      <c r="C1349" s="659" t="s">
        <v>514</v>
      </c>
      <c r="D1349" s="666">
        <v>1</v>
      </c>
      <c r="E1349" s="716" t="s">
        <v>359</v>
      </c>
      <c r="F1349" s="659" t="s">
        <v>365</v>
      </c>
      <c r="G1349" s="658" t="s">
        <v>189</v>
      </c>
      <c r="H1349" s="662" t="s">
        <v>100</v>
      </c>
      <c r="I1349" s="582" t="str">
        <f>VLOOKUP(H1349,'9a-Typen vloeren'!$A$10:$B$40,2,FALSE)</f>
        <v>Sprayen/ conserveren</v>
      </c>
      <c r="J1349" s="654">
        <v>13.800000190734863</v>
      </c>
      <c r="K1349" s="433">
        <f t="shared" si="108"/>
        <v>13.800000190734863</v>
      </c>
      <c r="L1349" s="433">
        <f t="shared" si="109"/>
        <v>0</v>
      </c>
      <c r="M1349" s="433">
        <f t="shared" si="110"/>
        <v>0</v>
      </c>
      <c r="N1349" s="672"/>
      <c r="O1349" s="729">
        <f>IF(N1349="",0,N1349*K1349/'9b-Vloeronderhoud'!$F$4)</f>
        <v>0</v>
      </c>
      <c r="P1349" s="672"/>
      <c r="Q1349" s="729" t="e">
        <f>IF(O1349="",0,P1349*L1349/'9b-Vloeronderhoud'!$F$6)</f>
        <v>#DIV/0!</v>
      </c>
      <c r="R1349" s="449">
        <v>1</v>
      </c>
      <c r="S1349" s="675">
        <v>40</v>
      </c>
      <c r="T1349" s="161" t="e">
        <f t="shared" si="106"/>
        <v>#DIV/0!</v>
      </c>
      <c r="U1349" s="162">
        <f>IF(S1349="nio",0,IF(S1349&gt;0,VLOOKUP(G1349,'3-Productie normen'!A:K,VLOOKUP(S1349,'3-Productie normen'!L:N,3,FALSE),FALSE)))</f>
        <v>0</v>
      </c>
      <c r="V1349" s="162">
        <f>VLOOKUP(G1349,'3-Productie normen'!A:K,10,FALSE)</f>
        <v>1494.1700078582762</v>
      </c>
      <c r="W1349" s="163">
        <f>VLOOKUP(G1349,'3-Productie normen'!A:K,11,FALSE)</f>
        <v>0</v>
      </c>
      <c r="X1349" s="163"/>
      <c r="Z1349" s="129">
        <f t="shared" si="107"/>
        <v>552.00000762939453</v>
      </c>
    </row>
    <row r="1350" spans="1:26" ht="14.1" customHeight="1">
      <c r="A1350" s="144">
        <v>1388</v>
      </c>
      <c r="B1350" s="659" t="s">
        <v>234</v>
      </c>
      <c r="C1350" s="659" t="s">
        <v>514</v>
      </c>
      <c r="D1350" s="666">
        <v>1</v>
      </c>
      <c r="E1350" s="716" t="s">
        <v>361</v>
      </c>
      <c r="F1350" s="659" t="s">
        <v>302</v>
      </c>
      <c r="G1350" s="658" t="s">
        <v>18</v>
      </c>
      <c r="H1350" s="662" t="s">
        <v>335</v>
      </c>
      <c r="I1350" s="582" t="str">
        <f>VLOOKUP(H1350,'9a-Typen vloeren'!$A$10:$B$40,2,FALSE)</f>
        <v>Schrobben</v>
      </c>
      <c r="J1350" s="654">
        <v>8.8000001907348633</v>
      </c>
      <c r="K1350" s="433">
        <f t="shared" si="108"/>
        <v>0</v>
      </c>
      <c r="L1350" s="433">
        <f t="shared" si="109"/>
        <v>8.8000001907348633</v>
      </c>
      <c r="M1350" s="433">
        <f t="shared" si="110"/>
        <v>0</v>
      </c>
      <c r="N1350" s="672"/>
      <c r="O1350" s="729">
        <f>IF(N1350="",0,N1350*K1350/'9b-Vloeronderhoud'!$F$4)</f>
        <v>0</v>
      </c>
      <c r="P1350" s="672"/>
      <c r="Q1350" s="729" t="e">
        <f>IF(O1350="",0,P1350*L1350/'9b-Vloeronderhoud'!$F$6)</f>
        <v>#DIV/0!</v>
      </c>
      <c r="R1350" s="449">
        <v>1</v>
      </c>
      <c r="S1350" s="672">
        <v>190</v>
      </c>
      <c r="T1350" s="161" t="e">
        <f t="shared" si="106"/>
        <v>#DIV/0!</v>
      </c>
      <c r="U1350" s="162">
        <f>IF(S1350="nio",0,IF(S1350&gt;0,VLOOKUP(G1350,'3-Productie normen'!A:K,VLOOKUP(S1350,'3-Productie normen'!L:N,3,FALSE),FALSE)))</f>
        <v>0</v>
      </c>
      <c r="V1350" s="162">
        <f>VLOOKUP(G1350,'3-Productie normen'!A:K,10,FALSE)</f>
        <v>1859.5880019121171</v>
      </c>
      <c r="W1350" s="163">
        <f>VLOOKUP(G1350,'3-Productie normen'!A:K,11,FALSE)</f>
        <v>0</v>
      </c>
      <c r="X1350" s="163"/>
      <c r="Z1350" s="129">
        <f t="shared" si="107"/>
        <v>1672.000036239624</v>
      </c>
    </row>
    <row r="1351" spans="1:26" ht="14.1" customHeight="1">
      <c r="A1351" s="144">
        <v>1389</v>
      </c>
      <c r="B1351" s="659" t="s">
        <v>234</v>
      </c>
      <c r="C1351" s="659" t="s">
        <v>514</v>
      </c>
      <c r="D1351" s="666">
        <v>1</v>
      </c>
      <c r="E1351" s="716" t="s">
        <v>363</v>
      </c>
      <c r="F1351" s="659" t="s">
        <v>221</v>
      </c>
      <c r="G1351" s="658" t="s">
        <v>221</v>
      </c>
      <c r="H1351" s="662" t="s">
        <v>100</v>
      </c>
      <c r="I1351" s="582" t="str">
        <f>VLOOKUP(H1351,'9a-Typen vloeren'!$A$10:$B$40,2,FALSE)</f>
        <v>Sprayen/ conserveren</v>
      </c>
      <c r="J1351" s="654">
        <v>56.200000762939453</v>
      </c>
      <c r="K1351" s="433">
        <f t="shared" si="108"/>
        <v>56.200000762939453</v>
      </c>
      <c r="L1351" s="433">
        <f t="shared" si="109"/>
        <v>0</v>
      </c>
      <c r="M1351" s="433">
        <f t="shared" si="110"/>
        <v>0</v>
      </c>
      <c r="N1351" s="672"/>
      <c r="O1351" s="729">
        <f>IF(N1351="",0,N1351*K1351/'9b-Vloeronderhoud'!$F$4)</f>
        <v>0</v>
      </c>
      <c r="P1351" s="672"/>
      <c r="Q1351" s="729" t="e">
        <f>IF(O1351="",0,P1351*L1351/'9b-Vloeronderhoud'!$F$6)</f>
        <v>#DIV/0!</v>
      </c>
      <c r="R1351" s="449">
        <v>1</v>
      </c>
      <c r="S1351" s="688" t="s">
        <v>179</v>
      </c>
      <c r="T1351" s="161">
        <f t="shared" si="106"/>
        <v>0</v>
      </c>
      <c r="U1351" s="162">
        <f>IF(S1351="nio",0,IF(S1351&gt;0,VLOOKUP(G1351,'3-Productie normen'!A:K,VLOOKUP(S1351,'3-Productie normen'!L:N,3,FALSE),FALSE)))</f>
        <v>0</v>
      </c>
      <c r="V1351" s="162">
        <f>VLOOKUP(G1351,'3-Productie normen'!A:K,10,FALSE)</f>
        <v>16013.110036668773</v>
      </c>
      <c r="W1351" s="163">
        <f>VLOOKUP(G1351,'3-Productie normen'!A:K,11,FALSE)</f>
        <v>0</v>
      </c>
      <c r="X1351" s="163"/>
      <c r="Z1351" s="129">
        <f t="shared" si="107"/>
        <v>0</v>
      </c>
    </row>
    <row r="1352" spans="1:26" ht="14.1" customHeight="1">
      <c r="A1352" s="144">
        <v>1390</v>
      </c>
      <c r="B1352" s="659" t="s">
        <v>566</v>
      </c>
      <c r="C1352" s="659" t="s">
        <v>514</v>
      </c>
      <c r="D1352" s="666">
        <v>1</v>
      </c>
      <c r="E1352" s="716" t="s">
        <v>364</v>
      </c>
      <c r="F1352" s="659" t="s">
        <v>365</v>
      </c>
      <c r="G1352" s="658" t="s">
        <v>189</v>
      </c>
      <c r="H1352" s="662" t="s">
        <v>100</v>
      </c>
      <c r="I1352" s="582" t="str">
        <f>VLOOKUP(H1352,'9a-Typen vloeren'!$A$10:$B$40,2,FALSE)</f>
        <v>Sprayen/ conserveren</v>
      </c>
      <c r="J1352" s="654">
        <v>12.5</v>
      </c>
      <c r="K1352" s="433">
        <f t="shared" si="108"/>
        <v>12.5</v>
      </c>
      <c r="L1352" s="433">
        <f t="shared" si="109"/>
        <v>0</v>
      </c>
      <c r="M1352" s="433">
        <f t="shared" si="110"/>
        <v>0</v>
      </c>
      <c r="N1352" s="672"/>
      <c r="O1352" s="729">
        <f>IF(N1352="",0,N1352*K1352/'9b-Vloeronderhoud'!$F$4)</f>
        <v>0</v>
      </c>
      <c r="P1352" s="672"/>
      <c r="Q1352" s="729" t="e">
        <f>IF(O1352="",0,P1352*L1352/'9b-Vloeronderhoud'!$F$6)</f>
        <v>#DIV/0!</v>
      </c>
      <c r="R1352" s="449">
        <v>1</v>
      </c>
      <c r="S1352" s="680">
        <v>40</v>
      </c>
      <c r="T1352" s="161" t="e">
        <f t="shared" si="106"/>
        <v>#DIV/0!</v>
      </c>
      <c r="U1352" s="162">
        <f>IF(S1352="nio",0,IF(S1352&gt;0,VLOOKUP(G1352,'3-Productie normen'!A:K,VLOOKUP(S1352,'3-Productie normen'!L:N,3,FALSE),FALSE)))</f>
        <v>0</v>
      </c>
      <c r="V1352" s="162">
        <f>VLOOKUP(G1352,'3-Productie normen'!A:K,10,FALSE)</f>
        <v>1494.1700078582762</v>
      </c>
      <c r="W1352" s="163">
        <f>VLOOKUP(G1352,'3-Productie normen'!A:K,11,FALSE)</f>
        <v>0</v>
      </c>
      <c r="X1352" s="163"/>
      <c r="Z1352" s="129">
        <f t="shared" si="107"/>
        <v>500</v>
      </c>
    </row>
    <row r="1353" spans="1:26" ht="14.1" customHeight="1">
      <c r="A1353" s="144">
        <v>1391</v>
      </c>
      <c r="B1353" s="659" t="s">
        <v>566</v>
      </c>
      <c r="C1353" s="659" t="s">
        <v>514</v>
      </c>
      <c r="D1353" s="666">
        <v>1</v>
      </c>
      <c r="E1353" s="716" t="s">
        <v>366</v>
      </c>
      <c r="F1353" s="659" t="s">
        <v>282</v>
      </c>
      <c r="G1353" s="667" t="s">
        <v>861</v>
      </c>
      <c r="H1353" s="662" t="s">
        <v>100</v>
      </c>
      <c r="I1353" s="582" t="str">
        <f>VLOOKUP(H1353,'9a-Typen vloeren'!$A$10:$B$40,2,FALSE)</f>
        <v>Sprayen/ conserveren</v>
      </c>
      <c r="J1353" s="654">
        <v>5.3000001907348633</v>
      </c>
      <c r="K1353" s="433">
        <f t="shared" si="108"/>
        <v>5.3000001907348633</v>
      </c>
      <c r="L1353" s="433">
        <f t="shared" si="109"/>
        <v>0</v>
      </c>
      <c r="M1353" s="433">
        <f t="shared" si="110"/>
        <v>0</v>
      </c>
      <c r="N1353" s="672"/>
      <c r="O1353" s="729">
        <f>IF(N1353="",0,N1353*K1353/'9b-Vloeronderhoud'!$F$4)</f>
        <v>0</v>
      </c>
      <c r="P1353" s="672"/>
      <c r="Q1353" s="729" t="e">
        <f>IF(O1353="",0,P1353*L1353/'9b-Vloeronderhoud'!$F$6)</f>
        <v>#DIV/0!</v>
      </c>
      <c r="R1353" s="449">
        <v>1</v>
      </c>
      <c r="S1353" s="679" t="s">
        <v>179</v>
      </c>
      <c r="T1353" s="161">
        <f t="shared" si="106"/>
        <v>0</v>
      </c>
      <c r="U1353" s="162">
        <f>IF(S1353="nio",0,IF(S1353&gt;0,VLOOKUP(G1353,'3-Productie normen'!A:K,VLOOKUP(S1353,'3-Productie normen'!L:N,3,FALSE),FALSE)))</f>
        <v>0</v>
      </c>
      <c r="V1353" s="162">
        <f>VLOOKUP(G1353,'3-Productie normen'!A:K,10,FALSE)</f>
        <v>137.96000057220459</v>
      </c>
      <c r="W1353" s="163">
        <f>VLOOKUP(G1353,'3-Productie normen'!A:K,11,FALSE)</f>
        <v>0</v>
      </c>
      <c r="X1353" s="163"/>
      <c r="Z1353" s="129">
        <f t="shared" si="107"/>
        <v>0</v>
      </c>
    </row>
    <row r="1354" spans="1:26" ht="14.1" customHeight="1">
      <c r="A1354" s="144">
        <v>1392</v>
      </c>
      <c r="B1354" s="659" t="s">
        <v>566</v>
      </c>
      <c r="C1354" s="659" t="s">
        <v>514</v>
      </c>
      <c r="D1354" s="666">
        <v>1</v>
      </c>
      <c r="E1354" s="716" t="s">
        <v>368</v>
      </c>
      <c r="F1354" s="659" t="s">
        <v>302</v>
      </c>
      <c r="G1354" s="658" t="s">
        <v>18</v>
      </c>
      <c r="H1354" s="662" t="s">
        <v>335</v>
      </c>
      <c r="I1354" s="582" t="str">
        <f>VLOOKUP(H1354,'9a-Typen vloeren'!$A$10:$B$40,2,FALSE)</f>
        <v>Schrobben</v>
      </c>
      <c r="J1354" s="654">
        <v>5.3000001907348633</v>
      </c>
      <c r="K1354" s="433">
        <f t="shared" si="108"/>
        <v>0</v>
      </c>
      <c r="L1354" s="433">
        <f t="shared" si="109"/>
        <v>5.3000001907348633</v>
      </c>
      <c r="M1354" s="433">
        <f t="shared" si="110"/>
        <v>0</v>
      </c>
      <c r="N1354" s="672"/>
      <c r="O1354" s="729">
        <f>IF(N1354="",0,N1354*K1354/'9b-Vloeronderhoud'!$F$4)</f>
        <v>0</v>
      </c>
      <c r="P1354" s="672"/>
      <c r="Q1354" s="729" t="e">
        <f>IF(O1354="",0,P1354*L1354/'9b-Vloeronderhoud'!$F$6)</f>
        <v>#DIV/0!</v>
      </c>
      <c r="R1354" s="449">
        <v>1</v>
      </c>
      <c r="S1354" s="679">
        <v>190</v>
      </c>
      <c r="T1354" s="161" t="e">
        <f t="shared" ref="T1354:T1417" si="111">IF(S1354="nio",0,IF(S1354&gt;0,S1354*J1354/U1354,0))*R1354</f>
        <v>#DIV/0!</v>
      </c>
      <c r="U1354" s="162">
        <f>IF(S1354="nio",0,IF(S1354&gt;0,VLOOKUP(G1354,'3-Productie normen'!A:K,VLOOKUP(S1354,'3-Productie normen'!L:N,3,FALSE),FALSE)))</f>
        <v>0</v>
      </c>
      <c r="V1354" s="162">
        <f>VLOOKUP(G1354,'3-Productie normen'!A:K,10,FALSE)</f>
        <v>1859.5880019121171</v>
      </c>
      <c r="W1354" s="163">
        <f>VLOOKUP(G1354,'3-Productie normen'!A:K,11,FALSE)</f>
        <v>0</v>
      </c>
      <c r="X1354" s="163"/>
      <c r="Z1354" s="129">
        <f t="shared" ref="Z1354:Z1417" si="112">SUM(S1354:S1354)*J1354</f>
        <v>1007.000036239624</v>
      </c>
    </row>
    <row r="1355" spans="1:26" ht="14.1" customHeight="1">
      <c r="A1355" s="144">
        <v>1393</v>
      </c>
      <c r="B1355" s="659" t="s">
        <v>566</v>
      </c>
      <c r="C1355" s="659" t="s">
        <v>514</v>
      </c>
      <c r="D1355" s="666">
        <v>1</v>
      </c>
      <c r="E1355" s="716" t="s">
        <v>369</v>
      </c>
      <c r="F1355" s="659" t="s">
        <v>313</v>
      </c>
      <c r="G1355" s="667" t="s">
        <v>861</v>
      </c>
      <c r="H1355" s="662" t="s">
        <v>100</v>
      </c>
      <c r="I1355" s="582" t="str">
        <f>VLOOKUP(H1355,'9a-Typen vloeren'!$A$10:$B$40,2,FALSE)</f>
        <v>Sprayen/ conserveren</v>
      </c>
      <c r="J1355" s="654">
        <v>6.1500000953674316</v>
      </c>
      <c r="K1355" s="433">
        <f t="shared" si="108"/>
        <v>6.1500000953674316</v>
      </c>
      <c r="L1355" s="433">
        <f t="shared" si="109"/>
        <v>0</v>
      </c>
      <c r="M1355" s="433">
        <f t="shared" si="110"/>
        <v>0</v>
      </c>
      <c r="N1355" s="672"/>
      <c r="O1355" s="729">
        <f>IF(N1355="",0,N1355*K1355/'9b-Vloeronderhoud'!$F$4)</f>
        <v>0</v>
      </c>
      <c r="P1355" s="672"/>
      <c r="Q1355" s="729" t="e">
        <f>IF(O1355="",0,P1355*L1355/'9b-Vloeronderhoud'!$F$6)</f>
        <v>#DIV/0!</v>
      </c>
      <c r="R1355" s="449">
        <v>1</v>
      </c>
      <c r="S1355" s="679" t="s">
        <v>179</v>
      </c>
      <c r="T1355" s="161">
        <f t="shared" si="111"/>
        <v>0</v>
      </c>
      <c r="U1355" s="162">
        <f>IF(S1355="nio",0,IF(S1355&gt;0,VLOOKUP(G1355,'3-Productie normen'!A:K,VLOOKUP(S1355,'3-Productie normen'!L:N,3,FALSE),FALSE)))</f>
        <v>0</v>
      </c>
      <c r="V1355" s="162">
        <f>VLOOKUP(G1355,'3-Productie normen'!A:K,10,FALSE)</f>
        <v>137.96000057220459</v>
      </c>
      <c r="W1355" s="163">
        <f>VLOOKUP(G1355,'3-Productie normen'!A:K,11,FALSE)</f>
        <v>0</v>
      </c>
      <c r="X1355" s="163"/>
      <c r="Z1355" s="129">
        <f t="shared" si="112"/>
        <v>0</v>
      </c>
    </row>
    <row r="1356" spans="1:26" ht="14.1" customHeight="1">
      <c r="A1356" s="144">
        <v>1394</v>
      </c>
      <c r="B1356" s="485" t="s">
        <v>243</v>
      </c>
      <c r="C1356" s="303" t="s">
        <v>650</v>
      </c>
      <c r="D1356" s="304" t="s">
        <v>98</v>
      </c>
      <c r="E1356" s="694" t="s">
        <v>294</v>
      </c>
      <c r="F1356" s="303" t="s">
        <v>99</v>
      </c>
      <c r="G1356" s="122" t="s">
        <v>99</v>
      </c>
      <c r="H1356" s="303" t="s">
        <v>332</v>
      </c>
      <c r="I1356" s="582" t="str">
        <f>VLOOKUP(H1356,'9a-Typen vloeren'!$A$10:$B$40,2,FALSE)</f>
        <v>Sproei/extraheren</v>
      </c>
      <c r="J1356" s="433">
        <v>8.0500001907348633</v>
      </c>
      <c r="K1356" s="433">
        <f t="shared" si="103"/>
        <v>0</v>
      </c>
      <c r="L1356" s="433">
        <f t="shared" si="104"/>
        <v>0</v>
      </c>
      <c r="M1356" s="433">
        <f t="shared" si="105"/>
        <v>8.0500001907348633</v>
      </c>
      <c r="N1356" s="672"/>
      <c r="O1356" s="729">
        <f>IF(N1356="",0,N1356*K1356/'9b-Vloeronderhoud'!$F$4)</f>
        <v>0</v>
      </c>
      <c r="P1356" s="672"/>
      <c r="Q1356" s="729" t="e">
        <f>IF(O1356="",0,P1356*L1356/'9b-Vloeronderhoud'!$F$6)</f>
        <v>#DIV/0!</v>
      </c>
      <c r="R1356" s="449">
        <v>1</v>
      </c>
      <c r="S1356" s="672">
        <v>190</v>
      </c>
      <c r="T1356" s="161" t="e">
        <f t="shared" si="111"/>
        <v>#DIV/0!</v>
      </c>
      <c r="U1356" s="162">
        <f>IF(S1356="nio",0,IF(S1356&gt;0,VLOOKUP(G1356,'3-Productie normen'!A:K,VLOOKUP(S1356,'3-Productie normen'!L:N,3,FALSE),FALSE)))</f>
        <v>0</v>
      </c>
      <c r="V1356" s="162">
        <f>VLOOKUP(G1356,'3-Productie normen'!A:K,10,FALSE)</f>
        <v>726.97999910354622</v>
      </c>
      <c r="W1356" s="163">
        <f>VLOOKUP(G1356,'3-Productie normen'!A:K,11,FALSE)</f>
        <v>0</v>
      </c>
      <c r="X1356" s="163"/>
      <c r="Z1356" s="129">
        <f t="shared" si="112"/>
        <v>1529.500036239624</v>
      </c>
    </row>
    <row r="1357" spans="1:26" ht="14.1" customHeight="1">
      <c r="A1357" s="144">
        <v>1395</v>
      </c>
      <c r="B1357" s="485" t="s">
        <v>243</v>
      </c>
      <c r="C1357" s="303" t="s">
        <v>650</v>
      </c>
      <c r="D1357" s="304" t="s">
        <v>98</v>
      </c>
      <c r="E1357" s="694" t="s">
        <v>295</v>
      </c>
      <c r="F1357" s="303" t="s">
        <v>404</v>
      </c>
      <c r="G1357" s="460" t="s">
        <v>286</v>
      </c>
      <c r="H1357" s="303" t="s">
        <v>100</v>
      </c>
      <c r="I1357" s="582" t="str">
        <f>VLOOKUP(H1357,'9a-Typen vloeren'!$A$10:$B$40,2,FALSE)</f>
        <v>Sprayen/ conserveren</v>
      </c>
      <c r="J1357" s="433">
        <v>33.400001525878906</v>
      </c>
      <c r="K1357" s="433">
        <f t="shared" si="103"/>
        <v>33.400001525878906</v>
      </c>
      <c r="L1357" s="433">
        <f t="shared" si="104"/>
        <v>0</v>
      </c>
      <c r="M1357" s="433">
        <f t="shared" si="105"/>
        <v>0</v>
      </c>
      <c r="N1357" s="672">
        <v>2</v>
      </c>
      <c r="O1357" s="729" t="e">
        <f>IF(N1357="",0,N1357*K1357/'9b-Vloeronderhoud'!$F$4)</f>
        <v>#DIV/0!</v>
      </c>
      <c r="P1357" s="672"/>
      <c r="Q1357" s="729" t="e">
        <f>IF(O1357="",0,P1357*L1357/'9b-Vloeronderhoud'!$F$6)</f>
        <v>#DIV/0!</v>
      </c>
      <c r="R1357" s="449">
        <v>1</v>
      </c>
      <c r="S1357" s="672">
        <v>120</v>
      </c>
      <c r="T1357" s="161" t="e">
        <f t="shared" si="111"/>
        <v>#DIV/0!</v>
      </c>
      <c r="U1357" s="162">
        <f>IF(S1357="nio",0,IF(S1357&gt;0,VLOOKUP(G1357,'3-Productie normen'!A:K,VLOOKUP(S1357,'3-Productie normen'!L:N,3,FALSE),FALSE)))</f>
        <v>0</v>
      </c>
      <c r="V1357" s="162">
        <f>VLOOKUP(G1357,'3-Productie normen'!A:K,10,FALSE)</f>
        <v>6152.9500017547598</v>
      </c>
      <c r="W1357" s="163">
        <f>VLOOKUP(G1357,'3-Productie normen'!A:K,11,FALSE)</f>
        <v>0</v>
      </c>
      <c r="X1357" s="163"/>
      <c r="Z1357" s="129">
        <f t="shared" si="112"/>
        <v>4008.0001831054688</v>
      </c>
    </row>
    <row r="1358" spans="1:26" ht="14.1" customHeight="1">
      <c r="A1358" s="144">
        <v>1396</v>
      </c>
      <c r="B1358" s="485" t="s">
        <v>243</v>
      </c>
      <c r="C1358" s="303" t="s">
        <v>650</v>
      </c>
      <c r="D1358" s="304" t="s">
        <v>98</v>
      </c>
      <c r="E1358" s="694" t="s">
        <v>296</v>
      </c>
      <c r="F1358" s="303" t="s">
        <v>651</v>
      </c>
      <c r="G1358" s="460" t="s">
        <v>881</v>
      </c>
      <c r="H1358" s="303" t="s">
        <v>100</v>
      </c>
      <c r="I1358" s="582" t="str">
        <f>VLOOKUP(H1358,'9a-Typen vloeren'!$A$10:$B$40,2,FALSE)</f>
        <v>Sprayen/ conserveren</v>
      </c>
      <c r="J1358" s="433">
        <v>64.25</v>
      </c>
      <c r="K1358" s="433">
        <f t="shared" si="103"/>
        <v>0</v>
      </c>
      <c r="L1358" s="433">
        <f t="shared" si="104"/>
        <v>0</v>
      </c>
      <c r="M1358" s="433">
        <f t="shared" si="105"/>
        <v>0</v>
      </c>
      <c r="N1358" s="672"/>
      <c r="O1358" s="729">
        <f>IF(N1358="",0,N1358*K1358/'9b-Vloeronderhoud'!$F$4)</f>
        <v>0</v>
      </c>
      <c r="P1358" s="672"/>
      <c r="Q1358" s="729" t="e">
        <f>IF(O1358="",0,P1358*L1358/'9b-Vloeronderhoud'!$F$6)</f>
        <v>#DIV/0!</v>
      </c>
      <c r="R1358" s="449">
        <v>1</v>
      </c>
      <c r="S1358" s="672" t="s">
        <v>179</v>
      </c>
      <c r="T1358" s="161">
        <f t="shared" si="111"/>
        <v>0</v>
      </c>
      <c r="U1358" s="162">
        <f>IF(S1358="nio",0,IF(S1358&gt;0,VLOOKUP(G1358,'3-Productie normen'!A:K,VLOOKUP(S1358,'3-Productie normen'!L:N,3,FALSE),FALSE)))</f>
        <v>0</v>
      </c>
      <c r="V1358" s="162">
        <f>VLOOKUP(G1358,'3-Productie normen'!A:K,10,FALSE)</f>
        <v>5262.809993648526</v>
      </c>
      <c r="W1358" s="163">
        <f>VLOOKUP(G1358,'3-Productie normen'!A:K,11,FALSE)</f>
        <v>0</v>
      </c>
      <c r="X1358" s="163"/>
      <c r="Z1358" s="129">
        <f t="shared" si="112"/>
        <v>0</v>
      </c>
    </row>
    <row r="1359" spans="1:26" ht="14.1" customHeight="1">
      <c r="A1359" s="144">
        <v>1397</v>
      </c>
      <c r="B1359" s="485" t="s">
        <v>243</v>
      </c>
      <c r="C1359" s="303" t="s">
        <v>650</v>
      </c>
      <c r="D1359" s="304" t="s">
        <v>98</v>
      </c>
      <c r="E1359" s="694" t="s">
        <v>298</v>
      </c>
      <c r="F1359" s="303" t="s">
        <v>556</v>
      </c>
      <c r="G1359" s="303" t="s">
        <v>299</v>
      </c>
      <c r="H1359" s="303" t="s">
        <v>100</v>
      </c>
      <c r="I1359" s="582" t="str">
        <f>VLOOKUP(H1359,'9a-Typen vloeren'!$A$10:$B$40,2,FALSE)</f>
        <v>Sprayen/ conserveren</v>
      </c>
      <c r="J1359" s="433">
        <v>39.700000762939453</v>
      </c>
      <c r="K1359" s="433">
        <f t="shared" si="103"/>
        <v>39.700000762939453</v>
      </c>
      <c r="L1359" s="433">
        <f t="shared" si="104"/>
        <v>0</v>
      </c>
      <c r="M1359" s="433">
        <f t="shared" si="105"/>
        <v>0</v>
      </c>
      <c r="N1359" s="672"/>
      <c r="O1359" s="729">
        <f>IF(N1359="",0,N1359*K1359/'9b-Vloeronderhoud'!$F$4)</f>
        <v>0</v>
      </c>
      <c r="P1359" s="672"/>
      <c r="Q1359" s="729" t="e">
        <f>IF(O1359="",0,P1359*L1359/'9b-Vloeronderhoud'!$F$6)</f>
        <v>#DIV/0!</v>
      </c>
      <c r="R1359" s="449">
        <v>1</v>
      </c>
      <c r="S1359" s="672">
        <v>40</v>
      </c>
      <c r="T1359" s="161" t="e">
        <f t="shared" si="111"/>
        <v>#DIV/0!</v>
      </c>
      <c r="U1359" s="162">
        <f>IF(S1359="nio",0,IF(S1359&gt;0,VLOOKUP(G1359,'3-Productie normen'!A:K,VLOOKUP(S1359,'3-Productie normen'!L:N,3,FALSE),FALSE)))</f>
        <v>0</v>
      </c>
      <c r="V1359" s="162">
        <f>VLOOKUP(G1359,'3-Productie normen'!A:K,10,FALSE)</f>
        <v>1107.9100014114381</v>
      </c>
      <c r="W1359" s="163">
        <f>VLOOKUP(G1359,'3-Productie normen'!A:K,11,FALSE)</f>
        <v>0</v>
      </c>
      <c r="X1359" s="163"/>
      <c r="Z1359" s="129">
        <f t="shared" si="112"/>
        <v>1588.0000305175781</v>
      </c>
    </row>
    <row r="1360" spans="1:26" ht="14.1" customHeight="1">
      <c r="A1360" s="144">
        <v>1398</v>
      </c>
      <c r="B1360" s="485" t="s">
        <v>243</v>
      </c>
      <c r="C1360" s="303" t="s">
        <v>650</v>
      </c>
      <c r="D1360" s="304" t="s">
        <v>98</v>
      </c>
      <c r="E1360" s="694" t="s">
        <v>301</v>
      </c>
      <c r="F1360" s="303" t="s">
        <v>313</v>
      </c>
      <c r="G1360" s="460" t="s">
        <v>881</v>
      </c>
      <c r="H1360" s="303" t="s">
        <v>100</v>
      </c>
      <c r="I1360" s="582" t="str">
        <f>VLOOKUP(H1360,'9a-Typen vloeren'!$A$10:$B$40,2,FALSE)</f>
        <v>Sprayen/ conserveren</v>
      </c>
      <c r="J1360" s="433">
        <v>22.25</v>
      </c>
      <c r="K1360" s="433">
        <f t="shared" si="103"/>
        <v>0</v>
      </c>
      <c r="L1360" s="433">
        <f t="shared" si="104"/>
        <v>0</v>
      </c>
      <c r="M1360" s="433">
        <f t="shared" si="105"/>
        <v>0</v>
      </c>
      <c r="N1360" s="672"/>
      <c r="O1360" s="729">
        <f>IF(N1360="",0,N1360*K1360/'9b-Vloeronderhoud'!$F$4)</f>
        <v>0</v>
      </c>
      <c r="P1360" s="672"/>
      <c r="Q1360" s="729" t="e">
        <f>IF(O1360="",0,P1360*L1360/'9b-Vloeronderhoud'!$F$6)</f>
        <v>#DIV/0!</v>
      </c>
      <c r="R1360" s="449">
        <v>1</v>
      </c>
      <c r="S1360" s="672" t="s">
        <v>179</v>
      </c>
      <c r="T1360" s="161">
        <f t="shared" si="111"/>
        <v>0</v>
      </c>
      <c r="U1360" s="162">
        <f>IF(S1360="nio",0,IF(S1360&gt;0,VLOOKUP(G1360,'3-Productie normen'!A:K,VLOOKUP(S1360,'3-Productie normen'!L:N,3,FALSE),FALSE)))</f>
        <v>0</v>
      </c>
      <c r="V1360" s="162">
        <f>VLOOKUP(G1360,'3-Productie normen'!A:K,10,FALSE)</f>
        <v>5262.809993648526</v>
      </c>
      <c r="W1360" s="163">
        <f>VLOOKUP(G1360,'3-Productie normen'!A:K,11,FALSE)</f>
        <v>0</v>
      </c>
      <c r="X1360" s="163"/>
      <c r="Z1360" s="129">
        <f t="shared" si="112"/>
        <v>0</v>
      </c>
    </row>
    <row r="1361" spans="1:26" ht="14.1" customHeight="1">
      <c r="A1361" s="144">
        <v>1399</v>
      </c>
      <c r="B1361" s="485" t="s">
        <v>243</v>
      </c>
      <c r="C1361" s="303" t="s">
        <v>650</v>
      </c>
      <c r="D1361" s="304" t="s">
        <v>98</v>
      </c>
      <c r="E1361" s="694" t="s">
        <v>303</v>
      </c>
      <c r="F1361" s="303" t="s">
        <v>283</v>
      </c>
      <c r="G1361" s="460" t="s">
        <v>286</v>
      </c>
      <c r="H1361" s="303" t="s">
        <v>101</v>
      </c>
      <c r="I1361" s="582" t="str">
        <f>VLOOKUP(H1361,'9a-Typen vloeren'!$A$10:$B$40,2,FALSE)</f>
        <v>Schrobben</v>
      </c>
      <c r="J1361" s="433">
        <v>18.049999237060547</v>
      </c>
      <c r="K1361" s="433">
        <f t="shared" si="103"/>
        <v>0</v>
      </c>
      <c r="L1361" s="433">
        <f t="shared" si="104"/>
        <v>18.049999237060547</v>
      </c>
      <c r="M1361" s="433">
        <f t="shared" si="105"/>
        <v>0</v>
      </c>
      <c r="N1361" s="672"/>
      <c r="O1361" s="729">
        <f>IF(N1361="",0,N1361*K1361/'9b-Vloeronderhoud'!$F$4)</f>
        <v>0</v>
      </c>
      <c r="P1361" s="672">
        <v>3</v>
      </c>
      <c r="Q1361" s="729" t="e">
        <f>IF(O1361="",0,P1361*L1361/'9b-Vloeronderhoud'!$F$6)</f>
        <v>#DIV/0!</v>
      </c>
      <c r="R1361" s="449">
        <v>1</v>
      </c>
      <c r="S1361" s="672">
        <v>120</v>
      </c>
      <c r="T1361" s="161" t="e">
        <f t="shared" si="111"/>
        <v>#DIV/0!</v>
      </c>
      <c r="U1361" s="162">
        <f>IF(S1361="nio",0,IF(S1361&gt;0,VLOOKUP(G1361,'3-Productie normen'!A:K,VLOOKUP(S1361,'3-Productie normen'!L:N,3,FALSE),FALSE)))</f>
        <v>0</v>
      </c>
      <c r="V1361" s="162">
        <f>VLOOKUP(G1361,'3-Productie normen'!A:K,10,FALSE)</f>
        <v>6152.9500017547598</v>
      </c>
      <c r="W1361" s="163">
        <f>VLOOKUP(G1361,'3-Productie normen'!A:K,11,FALSE)</f>
        <v>0</v>
      </c>
      <c r="X1361" s="163"/>
      <c r="Z1361" s="129">
        <f t="shared" si="112"/>
        <v>2165.9999084472656</v>
      </c>
    </row>
    <row r="1362" spans="1:26" ht="14.1" customHeight="1">
      <c r="A1362" s="144">
        <v>1400</v>
      </c>
      <c r="B1362" s="485" t="s">
        <v>243</v>
      </c>
      <c r="C1362" s="303" t="s">
        <v>650</v>
      </c>
      <c r="D1362" s="304" t="s">
        <v>98</v>
      </c>
      <c r="E1362" s="694" t="s">
        <v>305</v>
      </c>
      <c r="F1362" s="303" t="s">
        <v>283</v>
      </c>
      <c r="G1362" s="460" t="s">
        <v>286</v>
      </c>
      <c r="H1362" s="303" t="s">
        <v>101</v>
      </c>
      <c r="I1362" s="582" t="str">
        <f>VLOOKUP(H1362,'9a-Typen vloeren'!$A$10:$B$40,2,FALSE)</f>
        <v>Schrobben</v>
      </c>
      <c r="J1362" s="433">
        <v>35.200000762939453</v>
      </c>
      <c r="K1362" s="433">
        <f t="shared" ref="K1362:K1425" si="113">IF(G1362="niet in onderhoud",0,IF(I1362="sprayen/ conserveren",J1362,0))</f>
        <v>0</v>
      </c>
      <c r="L1362" s="433">
        <f t="shared" ref="L1362:L1425" si="114">IF(G1362="niet in onderhoud",0,IF(I1362="schrobben",J1362,0))</f>
        <v>35.200000762939453</v>
      </c>
      <c r="M1362" s="433">
        <f t="shared" ref="M1362:M1425" si="115">IF(G1362="niet in onderhoud",0,IF(I1362="Sproei/extraheren",J1362,0))</f>
        <v>0</v>
      </c>
      <c r="N1362" s="672"/>
      <c r="O1362" s="729">
        <f>IF(N1362="",0,N1362*K1362/'9b-Vloeronderhoud'!$F$4)</f>
        <v>0</v>
      </c>
      <c r="P1362" s="672">
        <v>3</v>
      </c>
      <c r="Q1362" s="729" t="e">
        <f>IF(O1362="",0,P1362*L1362/'9b-Vloeronderhoud'!$F$6)</f>
        <v>#DIV/0!</v>
      </c>
      <c r="R1362" s="449">
        <v>1</v>
      </c>
      <c r="S1362" s="672">
        <v>120</v>
      </c>
      <c r="T1362" s="161" t="e">
        <f t="shared" si="111"/>
        <v>#DIV/0!</v>
      </c>
      <c r="U1362" s="162">
        <f>IF(S1362="nio",0,IF(S1362&gt;0,VLOOKUP(G1362,'3-Productie normen'!A:K,VLOOKUP(S1362,'3-Productie normen'!L:N,3,FALSE),FALSE)))</f>
        <v>0</v>
      </c>
      <c r="V1362" s="162">
        <f>VLOOKUP(G1362,'3-Productie normen'!A:K,10,FALSE)</f>
        <v>6152.9500017547598</v>
      </c>
      <c r="W1362" s="163">
        <f>VLOOKUP(G1362,'3-Productie normen'!A:K,11,FALSE)</f>
        <v>0</v>
      </c>
      <c r="X1362" s="163"/>
      <c r="Z1362" s="129">
        <f t="shared" si="112"/>
        <v>4224.0000915527344</v>
      </c>
    </row>
    <row r="1363" spans="1:26" ht="14.1" customHeight="1">
      <c r="A1363" s="144">
        <v>1401</v>
      </c>
      <c r="B1363" s="485" t="s">
        <v>243</v>
      </c>
      <c r="C1363" s="303" t="s">
        <v>650</v>
      </c>
      <c r="D1363" s="304" t="s">
        <v>98</v>
      </c>
      <c r="E1363" s="694" t="s">
        <v>305</v>
      </c>
      <c r="F1363" s="303" t="s">
        <v>283</v>
      </c>
      <c r="G1363" s="126" t="s">
        <v>286</v>
      </c>
      <c r="H1363" s="303" t="s">
        <v>332</v>
      </c>
      <c r="I1363" s="582" t="str">
        <f>VLOOKUP(H1363,'9a-Typen vloeren'!$A$10:$B$40,2,FALSE)</f>
        <v>Sproei/extraheren</v>
      </c>
      <c r="J1363" s="433">
        <v>4</v>
      </c>
      <c r="K1363" s="433">
        <f t="shared" si="113"/>
        <v>0</v>
      </c>
      <c r="L1363" s="433">
        <f t="shared" si="114"/>
        <v>0</v>
      </c>
      <c r="M1363" s="433">
        <f t="shared" si="115"/>
        <v>4</v>
      </c>
      <c r="N1363" s="672"/>
      <c r="O1363" s="729">
        <f>IF(N1363="",0,N1363*K1363/'9b-Vloeronderhoud'!$F$4)</f>
        <v>0</v>
      </c>
      <c r="P1363" s="672"/>
      <c r="Q1363" s="729" t="e">
        <f>IF(O1363="",0,P1363*L1363/'9b-Vloeronderhoud'!$F$6)</f>
        <v>#DIV/0!</v>
      </c>
      <c r="R1363" s="449">
        <v>1</v>
      </c>
      <c r="S1363" s="672">
        <v>120</v>
      </c>
      <c r="T1363" s="161" t="e">
        <f t="shared" si="111"/>
        <v>#DIV/0!</v>
      </c>
      <c r="U1363" s="162">
        <f>IF(S1363="nio",0,IF(S1363&gt;0,VLOOKUP(G1363,'3-Productie normen'!A:K,VLOOKUP(S1363,'3-Productie normen'!L:N,3,FALSE),FALSE)))</f>
        <v>0</v>
      </c>
      <c r="V1363" s="162">
        <f>VLOOKUP(G1363,'3-Productie normen'!A:K,10,FALSE)</f>
        <v>6152.9500017547598</v>
      </c>
      <c r="W1363" s="163">
        <f>VLOOKUP(G1363,'3-Productie normen'!A:K,11,FALSE)</f>
        <v>0</v>
      </c>
      <c r="X1363" s="163"/>
      <c r="Z1363" s="129">
        <f t="shared" si="112"/>
        <v>480</v>
      </c>
    </row>
    <row r="1364" spans="1:26" ht="14.1" customHeight="1">
      <c r="A1364" s="144">
        <v>1402</v>
      </c>
      <c r="B1364" s="485" t="s">
        <v>243</v>
      </c>
      <c r="C1364" s="303" t="s">
        <v>650</v>
      </c>
      <c r="D1364" s="304" t="s">
        <v>98</v>
      </c>
      <c r="E1364" s="694" t="s">
        <v>306</v>
      </c>
      <c r="F1364" s="303" t="s">
        <v>302</v>
      </c>
      <c r="G1364" s="122" t="s">
        <v>18</v>
      </c>
      <c r="H1364" s="534" t="s">
        <v>954</v>
      </c>
      <c r="I1364" s="582" t="str">
        <f>VLOOKUP(H1364,'9a-Typen vloeren'!$A$10:$B$40,2,FALSE)</f>
        <v>zie kwaliteitsontwerp</v>
      </c>
      <c r="J1364" s="433">
        <v>4.0999999046325684</v>
      </c>
      <c r="K1364" s="433">
        <f t="shared" si="113"/>
        <v>0</v>
      </c>
      <c r="L1364" s="433">
        <f t="shared" si="114"/>
        <v>0</v>
      </c>
      <c r="M1364" s="433">
        <f t="shared" si="115"/>
        <v>0</v>
      </c>
      <c r="N1364" s="672"/>
      <c r="O1364" s="729">
        <f>IF(N1364="",0,N1364*K1364/'9b-Vloeronderhoud'!$F$4)</f>
        <v>0</v>
      </c>
      <c r="P1364" s="672"/>
      <c r="Q1364" s="729" t="e">
        <f>IF(O1364="",0,P1364*L1364/'9b-Vloeronderhoud'!$F$6)</f>
        <v>#DIV/0!</v>
      </c>
      <c r="R1364" s="449">
        <v>1</v>
      </c>
      <c r="S1364" s="672">
        <v>190</v>
      </c>
      <c r="T1364" s="161" t="e">
        <f t="shared" si="111"/>
        <v>#DIV/0!</v>
      </c>
      <c r="U1364" s="162">
        <f>IF(S1364="nio",0,IF(S1364&gt;0,VLOOKUP(G1364,'3-Productie normen'!A:K,VLOOKUP(S1364,'3-Productie normen'!L:N,3,FALSE),FALSE)))</f>
        <v>0</v>
      </c>
      <c r="V1364" s="162">
        <f>VLOOKUP(G1364,'3-Productie normen'!A:K,10,FALSE)</f>
        <v>1859.5880019121171</v>
      </c>
      <c r="W1364" s="163">
        <f>VLOOKUP(G1364,'3-Productie normen'!A:K,11,FALSE)</f>
        <v>0</v>
      </c>
      <c r="X1364" s="163"/>
      <c r="Z1364" s="129">
        <f t="shared" si="112"/>
        <v>778.99998188018799</v>
      </c>
    </row>
    <row r="1365" spans="1:26" ht="14.1" customHeight="1">
      <c r="A1365" s="144">
        <v>1403</v>
      </c>
      <c r="B1365" s="485" t="s">
        <v>243</v>
      </c>
      <c r="C1365" s="303" t="s">
        <v>650</v>
      </c>
      <c r="D1365" s="304" t="s">
        <v>98</v>
      </c>
      <c r="E1365" s="694" t="s">
        <v>307</v>
      </c>
      <c r="F1365" s="303" t="s">
        <v>302</v>
      </c>
      <c r="G1365" s="460" t="s">
        <v>18</v>
      </c>
      <c r="H1365" s="534" t="s">
        <v>954</v>
      </c>
      <c r="I1365" s="582" t="str">
        <f>VLOOKUP(H1365,'9a-Typen vloeren'!$A$10:$B$40,2,FALSE)</f>
        <v>zie kwaliteitsontwerp</v>
      </c>
      <c r="J1365" s="433">
        <v>1.0499999523162842</v>
      </c>
      <c r="K1365" s="433">
        <f t="shared" si="113"/>
        <v>0</v>
      </c>
      <c r="L1365" s="433">
        <f t="shared" si="114"/>
        <v>0</v>
      </c>
      <c r="M1365" s="433">
        <f t="shared" si="115"/>
        <v>0</v>
      </c>
      <c r="N1365" s="672"/>
      <c r="O1365" s="729">
        <f>IF(N1365="",0,N1365*K1365/'9b-Vloeronderhoud'!$F$4)</f>
        <v>0</v>
      </c>
      <c r="P1365" s="672"/>
      <c r="Q1365" s="729" t="e">
        <f>IF(O1365="",0,P1365*L1365/'9b-Vloeronderhoud'!$F$6)</f>
        <v>#DIV/0!</v>
      </c>
      <c r="R1365" s="449">
        <v>1</v>
      </c>
      <c r="S1365" s="672">
        <v>190</v>
      </c>
      <c r="T1365" s="161" t="e">
        <f t="shared" si="111"/>
        <v>#DIV/0!</v>
      </c>
      <c r="U1365" s="162">
        <f>IF(S1365="nio",0,IF(S1365&gt;0,VLOOKUP(G1365,'3-Productie normen'!A:K,VLOOKUP(S1365,'3-Productie normen'!L:N,3,FALSE),FALSE)))</f>
        <v>0</v>
      </c>
      <c r="V1365" s="162">
        <f>VLOOKUP(G1365,'3-Productie normen'!A:K,10,FALSE)</f>
        <v>1859.5880019121171</v>
      </c>
      <c r="W1365" s="163">
        <f>VLOOKUP(G1365,'3-Productie normen'!A:K,11,FALSE)</f>
        <v>0</v>
      </c>
      <c r="X1365" s="163"/>
      <c r="Z1365" s="129">
        <f t="shared" si="112"/>
        <v>199.49999094009399</v>
      </c>
    </row>
    <row r="1366" spans="1:26" ht="14.1" customHeight="1">
      <c r="A1366" s="144">
        <v>1404</v>
      </c>
      <c r="B1366" s="485" t="s">
        <v>243</v>
      </c>
      <c r="C1366" s="303" t="s">
        <v>650</v>
      </c>
      <c r="D1366" s="304" t="s">
        <v>98</v>
      </c>
      <c r="E1366" s="694" t="s">
        <v>309</v>
      </c>
      <c r="F1366" s="303" t="s">
        <v>287</v>
      </c>
      <c r="G1366" s="122" t="s">
        <v>287</v>
      </c>
      <c r="H1366" s="303" t="s">
        <v>378</v>
      </c>
      <c r="I1366" s="582" t="str">
        <f>VLOOKUP(H1366,'9a-Typen vloeren'!$A$10:$B$40,2,FALSE)</f>
        <v>n.v.t.</v>
      </c>
      <c r="J1366" s="433">
        <v>6.4000000953674316</v>
      </c>
      <c r="K1366" s="433">
        <f t="shared" si="113"/>
        <v>0</v>
      </c>
      <c r="L1366" s="433">
        <f t="shared" si="114"/>
        <v>0</v>
      </c>
      <c r="M1366" s="433">
        <f t="shared" si="115"/>
        <v>0</v>
      </c>
      <c r="N1366" s="672"/>
      <c r="O1366" s="729">
        <f>IF(N1366="",0,N1366*K1366/'9b-Vloeronderhoud'!$F$4)</f>
        <v>0</v>
      </c>
      <c r="P1366" s="672"/>
      <c r="Q1366" s="729" t="e">
        <f>IF(O1366="",0,P1366*L1366/'9b-Vloeronderhoud'!$F$6)</f>
        <v>#DIV/0!</v>
      </c>
      <c r="R1366" s="449">
        <v>1</v>
      </c>
      <c r="S1366" s="672">
        <v>80</v>
      </c>
      <c r="T1366" s="161" t="e">
        <f t="shared" si="111"/>
        <v>#DIV/0!</v>
      </c>
      <c r="U1366" s="162">
        <f>IF(S1366="nio",0,IF(S1366&gt;0,VLOOKUP(G1366,'3-Productie normen'!A:K,VLOOKUP(S1366,'3-Productie normen'!L:N,3,FALSE),FALSE)))</f>
        <v>0</v>
      </c>
      <c r="V1366" s="162">
        <f>VLOOKUP(G1366,'3-Productie normen'!A:K,10,FALSE)</f>
        <v>519.460002565384</v>
      </c>
      <c r="W1366" s="163">
        <f>VLOOKUP(G1366,'3-Productie normen'!A:K,11,FALSE)</f>
        <v>0</v>
      </c>
      <c r="X1366" s="163"/>
      <c r="Z1366" s="129">
        <f t="shared" si="112"/>
        <v>512.00000762939453</v>
      </c>
    </row>
    <row r="1367" spans="1:26" ht="14.1" customHeight="1">
      <c r="A1367" s="144">
        <v>1405</v>
      </c>
      <c r="B1367" s="485" t="s">
        <v>243</v>
      </c>
      <c r="C1367" s="303" t="s">
        <v>650</v>
      </c>
      <c r="D1367" s="304" t="s">
        <v>98</v>
      </c>
      <c r="E1367" s="694" t="s">
        <v>309</v>
      </c>
      <c r="F1367" s="303" t="s">
        <v>412</v>
      </c>
      <c r="G1367" s="460" t="s">
        <v>287</v>
      </c>
      <c r="H1367" s="303" t="s">
        <v>332</v>
      </c>
      <c r="I1367" s="582" t="str">
        <f>VLOOKUP(H1367,'9a-Typen vloeren'!$A$10:$B$40,2,FALSE)</f>
        <v>Sproei/extraheren</v>
      </c>
      <c r="J1367" s="433">
        <v>2.5499999523162842</v>
      </c>
      <c r="K1367" s="433">
        <f t="shared" si="113"/>
        <v>0</v>
      </c>
      <c r="L1367" s="433">
        <f t="shared" si="114"/>
        <v>0</v>
      </c>
      <c r="M1367" s="433">
        <f t="shared" si="115"/>
        <v>2.5499999523162842</v>
      </c>
      <c r="N1367" s="672"/>
      <c r="O1367" s="729">
        <f>IF(N1367="",0,N1367*K1367/'9b-Vloeronderhoud'!$F$4)</f>
        <v>0</v>
      </c>
      <c r="P1367" s="672"/>
      <c r="Q1367" s="729" t="e">
        <f>IF(O1367="",0,P1367*L1367/'9b-Vloeronderhoud'!$F$6)</f>
        <v>#DIV/0!</v>
      </c>
      <c r="R1367" s="449">
        <v>1</v>
      </c>
      <c r="S1367" s="672">
        <v>80</v>
      </c>
      <c r="T1367" s="161" t="e">
        <f t="shared" si="111"/>
        <v>#DIV/0!</v>
      </c>
      <c r="U1367" s="162">
        <f>IF(S1367="nio",0,IF(S1367&gt;0,VLOOKUP(G1367,'3-Productie normen'!A:K,VLOOKUP(S1367,'3-Productie normen'!L:N,3,FALSE),FALSE)))</f>
        <v>0</v>
      </c>
      <c r="V1367" s="162">
        <f>VLOOKUP(G1367,'3-Productie normen'!A:K,10,FALSE)</f>
        <v>519.460002565384</v>
      </c>
      <c r="W1367" s="163">
        <f>VLOOKUP(G1367,'3-Productie normen'!A:K,11,FALSE)</f>
        <v>0</v>
      </c>
      <c r="X1367" s="163"/>
      <c r="Z1367" s="129">
        <f t="shared" si="112"/>
        <v>203.99999618530273</v>
      </c>
    </row>
    <row r="1368" spans="1:26" ht="14.1" customHeight="1">
      <c r="A1368" s="144">
        <v>1406</v>
      </c>
      <c r="B1368" s="485" t="s">
        <v>243</v>
      </c>
      <c r="C1368" s="303" t="s">
        <v>650</v>
      </c>
      <c r="D1368" s="304" t="s">
        <v>98</v>
      </c>
      <c r="E1368" s="694" t="s">
        <v>310</v>
      </c>
      <c r="F1368" s="303" t="s">
        <v>652</v>
      </c>
      <c r="G1368" s="546" t="s">
        <v>286</v>
      </c>
      <c r="H1368" s="303" t="s">
        <v>100</v>
      </c>
      <c r="I1368" s="582" t="str">
        <f>VLOOKUP(H1368,'9a-Typen vloeren'!$A$10:$B$40,2,FALSE)</f>
        <v>Sprayen/ conserveren</v>
      </c>
      <c r="J1368" s="433">
        <v>2.5499999523162842</v>
      </c>
      <c r="K1368" s="433">
        <f t="shared" si="113"/>
        <v>2.5499999523162842</v>
      </c>
      <c r="L1368" s="433">
        <f t="shared" si="114"/>
        <v>0</v>
      </c>
      <c r="M1368" s="433">
        <f t="shared" si="115"/>
        <v>0</v>
      </c>
      <c r="N1368" s="672">
        <v>2</v>
      </c>
      <c r="O1368" s="729" t="e">
        <f>IF(N1368="",0,N1368*K1368/'9b-Vloeronderhoud'!$F$4)</f>
        <v>#DIV/0!</v>
      </c>
      <c r="P1368" s="672"/>
      <c r="Q1368" s="729" t="e">
        <f>IF(O1368="",0,P1368*L1368/'9b-Vloeronderhoud'!$F$6)</f>
        <v>#DIV/0!</v>
      </c>
      <c r="R1368" s="449">
        <v>1</v>
      </c>
      <c r="S1368" s="672">
        <v>120</v>
      </c>
      <c r="T1368" s="161" t="e">
        <f t="shared" si="111"/>
        <v>#DIV/0!</v>
      </c>
      <c r="U1368" s="162">
        <f>IF(S1368="nio",0,IF(S1368&gt;0,VLOOKUP(G1368,'3-Productie normen'!A:K,VLOOKUP(S1368,'3-Productie normen'!L:N,3,FALSE),FALSE)))</f>
        <v>0</v>
      </c>
      <c r="V1368" s="162">
        <f>VLOOKUP(G1368,'3-Productie normen'!A:K,10,FALSE)</f>
        <v>6152.9500017547598</v>
      </c>
      <c r="W1368" s="163">
        <f>VLOOKUP(G1368,'3-Productie normen'!A:K,11,FALSE)</f>
        <v>0</v>
      </c>
      <c r="X1368" s="163"/>
      <c r="Z1368" s="129">
        <f t="shared" si="112"/>
        <v>305.9999942779541</v>
      </c>
    </row>
    <row r="1369" spans="1:26" ht="14.1" customHeight="1">
      <c r="A1369" s="144">
        <v>1407</v>
      </c>
      <c r="B1369" s="485" t="s">
        <v>243</v>
      </c>
      <c r="C1369" s="303" t="s">
        <v>650</v>
      </c>
      <c r="D1369" s="304" t="s">
        <v>98</v>
      </c>
      <c r="E1369" s="694" t="s">
        <v>311</v>
      </c>
      <c r="F1369" s="303" t="s">
        <v>221</v>
      </c>
      <c r="G1369" s="126" t="s">
        <v>221</v>
      </c>
      <c r="H1369" s="303" t="s">
        <v>100</v>
      </c>
      <c r="I1369" s="582" t="str">
        <f>VLOOKUP(H1369,'9a-Typen vloeren'!$A$10:$B$40,2,FALSE)</f>
        <v>Sprayen/ conserveren</v>
      </c>
      <c r="J1369" s="433">
        <v>47.799999237060547</v>
      </c>
      <c r="K1369" s="433">
        <f t="shared" si="113"/>
        <v>47.799999237060547</v>
      </c>
      <c r="L1369" s="433">
        <f t="shared" si="114"/>
        <v>0</v>
      </c>
      <c r="M1369" s="433">
        <f t="shared" si="115"/>
        <v>0</v>
      </c>
      <c r="N1369" s="672"/>
      <c r="O1369" s="729">
        <f>IF(N1369="",0,N1369*K1369/'9b-Vloeronderhoud'!$F$4)</f>
        <v>0</v>
      </c>
      <c r="P1369" s="672"/>
      <c r="Q1369" s="729" t="e">
        <f>IF(O1369="",0,P1369*L1369/'9b-Vloeronderhoud'!$F$6)</f>
        <v>#DIV/0!</v>
      </c>
      <c r="R1369" s="449">
        <v>1</v>
      </c>
      <c r="S1369" s="672">
        <v>80</v>
      </c>
      <c r="T1369" s="161" t="e">
        <f t="shared" si="111"/>
        <v>#DIV/0!</v>
      </c>
      <c r="U1369" s="162">
        <f>IF(S1369="nio",0,IF(S1369&gt;0,VLOOKUP(G1369,'3-Productie normen'!A:K,VLOOKUP(S1369,'3-Productie normen'!L:N,3,FALSE),FALSE)))</f>
        <v>0</v>
      </c>
      <c r="V1369" s="162">
        <f>VLOOKUP(G1369,'3-Productie normen'!A:K,10,FALSE)</f>
        <v>16013.110036668773</v>
      </c>
      <c r="W1369" s="163">
        <f>VLOOKUP(G1369,'3-Productie normen'!A:K,11,FALSE)</f>
        <v>0</v>
      </c>
      <c r="X1369" s="163"/>
      <c r="Z1369" s="129">
        <f t="shared" si="112"/>
        <v>3823.9999389648438</v>
      </c>
    </row>
    <row r="1370" spans="1:26" ht="14.1" customHeight="1">
      <c r="A1370" s="144">
        <v>1408</v>
      </c>
      <c r="B1370" s="485" t="s">
        <v>243</v>
      </c>
      <c r="C1370" s="303" t="s">
        <v>650</v>
      </c>
      <c r="D1370" s="304" t="s">
        <v>98</v>
      </c>
      <c r="E1370" s="694" t="s">
        <v>312</v>
      </c>
      <c r="F1370" s="303" t="s">
        <v>313</v>
      </c>
      <c r="G1370" s="460" t="s">
        <v>881</v>
      </c>
      <c r="H1370" s="303" t="s">
        <v>332</v>
      </c>
      <c r="I1370" s="582" t="str">
        <f>VLOOKUP(H1370,'9a-Typen vloeren'!$A$10:$B$40,2,FALSE)</f>
        <v>Sproei/extraheren</v>
      </c>
      <c r="J1370" s="433">
        <v>5.6999998092651367</v>
      </c>
      <c r="K1370" s="433">
        <f t="shared" si="113"/>
        <v>0</v>
      </c>
      <c r="L1370" s="433">
        <f t="shared" si="114"/>
        <v>0</v>
      </c>
      <c r="M1370" s="433">
        <f t="shared" si="115"/>
        <v>0</v>
      </c>
      <c r="N1370" s="672"/>
      <c r="O1370" s="729">
        <f>IF(N1370="",0,N1370*K1370/'9b-Vloeronderhoud'!$F$4)</f>
        <v>0</v>
      </c>
      <c r="P1370" s="672"/>
      <c r="Q1370" s="729" t="e">
        <f>IF(O1370="",0,P1370*L1370/'9b-Vloeronderhoud'!$F$6)</f>
        <v>#DIV/0!</v>
      </c>
      <c r="R1370" s="449">
        <v>1</v>
      </c>
      <c r="S1370" s="672" t="s">
        <v>179</v>
      </c>
      <c r="T1370" s="161">
        <f t="shared" si="111"/>
        <v>0</v>
      </c>
      <c r="U1370" s="162">
        <f>IF(S1370="nio",0,IF(S1370&gt;0,VLOOKUP(G1370,'3-Productie normen'!A:K,VLOOKUP(S1370,'3-Productie normen'!L:N,3,FALSE),FALSE)))</f>
        <v>0</v>
      </c>
      <c r="V1370" s="162">
        <f>VLOOKUP(G1370,'3-Productie normen'!A:K,10,FALSE)</f>
        <v>5262.809993648526</v>
      </c>
      <c r="W1370" s="163">
        <f>VLOOKUP(G1370,'3-Productie normen'!A:K,11,FALSE)</f>
        <v>0</v>
      </c>
      <c r="X1370" s="163"/>
      <c r="Z1370" s="129">
        <f t="shared" si="112"/>
        <v>0</v>
      </c>
    </row>
    <row r="1371" spans="1:26" ht="14.1" customHeight="1">
      <c r="A1371" s="144">
        <v>1409</v>
      </c>
      <c r="B1371" s="485" t="s">
        <v>243</v>
      </c>
      <c r="C1371" s="303" t="s">
        <v>650</v>
      </c>
      <c r="D1371" s="304" t="s">
        <v>98</v>
      </c>
      <c r="E1371" s="694" t="s">
        <v>314</v>
      </c>
      <c r="F1371" s="171" t="s">
        <v>297</v>
      </c>
      <c r="G1371" s="533" t="s">
        <v>189</v>
      </c>
      <c r="H1371" s="303" t="s">
        <v>332</v>
      </c>
      <c r="I1371" s="582" t="str">
        <f>VLOOKUP(H1371,'9a-Typen vloeren'!$A$10:$B$40,2,FALSE)</f>
        <v>Sproei/extraheren</v>
      </c>
      <c r="J1371" s="596">
        <v>22.75</v>
      </c>
      <c r="K1371" s="433">
        <f t="shared" si="113"/>
        <v>0</v>
      </c>
      <c r="L1371" s="433">
        <f t="shared" si="114"/>
        <v>0</v>
      </c>
      <c r="M1371" s="433">
        <f t="shared" si="115"/>
        <v>22.75</v>
      </c>
      <c r="N1371" s="672"/>
      <c r="O1371" s="729">
        <f>IF(N1371="",0,N1371*K1371/'9b-Vloeronderhoud'!$F$4)</f>
        <v>0</v>
      </c>
      <c r="P1371" s="672"/>
      <c r="Q1371" s="729" t="e">
        <f>IF(O1371="",0,P1371*L1371/'9b-Vloeronderhoud'!$F$6)</f>
        <v>#DIV/0!</v>
      </c>
      <c r="R1371" s="449">
        <v>1</v>
      </c>
      <c r="S1371" s="675">
        <v>40</v>
      </c>
      <c r="T1371" s="161" t="e">
        <f t="shared" si="111"/>
        <v>#DIV/0!</v>
      </c>
      <c r="U1371" s="162">
        <f>IF(S1371="nio",0,IF(S1371&gt;0,VLOOKUP(G1371,'3-Productie normen'!A:K,VLOOKUP(S1371,'3-Productie normen'!L:N,3,FALSE),FALSE)))</f>
        <v>0</v>
      </c>
      <c r="V1371" s="162">
        <f>VLOOKUP(G1371,'3-Productie normen'!A:K,10,FALSE)</f>
        <v>1494.1700078582762</v>
      </c>
      <c r="W1371" s="163">
        <f>VLOOKUP(G1371,'3-Productie normen'!A:K,11,FALSE)</f>
        <v>0</v>
      </c>
      <c r="X1371" s="163"/>
      <c r="Z1371" s="129">
        <f t="shared" si="112"/>
        <v>910</v>
      </c>
    </row>
    <row r="1372" spans="1:26" ht="14.1" customHeight="1">
      <c r="A1372" s="144">
        <v>1410</v>
      </c>
      <c r="B1372" s="485" t="s">
        <v>243</v>
      </c>
      <c r="C1372" s="303" t="s">
        <v>650</v>
      </c>
      <c r="D1372" s="304" t="s">
        <v>98</v>
      </c>
      <c r="E1372" s="694" t="s">
        <v>315</v>
      </c>
      <c r="F1372" s="303" t="s">
        <v>302</v>
      </c>
      <c r="G1372" s="122" t="s">
        <v>18</v>
      </c>
      <c r="H1372" s="534" t="s">
        <v>954</v>
      </c>
      <c r="I1372" s="582" t="str">
        <f>VLOOKUP(H1372,'9a-Typen vloeren'!$A$10:$B$40,2,FALSE)</f>
        <v>zie kwaliteitsontwerp</v>
      </c>
      <c r="J1372" s="433">
        <v>2.7000000476837158</v>
      </c>
      <c r="K1372" s="433">
        <f t="shared" si="113"/>
        <v>0</v>
      </c>
      <c r="L1372" s="433">
        <f t="shared" si="114"/>
        <v>0</v>
      </c>
      <c r="M1372" s="433">
        <f t="shared" si="115"/>
        <v>0</v>
      </c>
      <c r="N1372" s="672"/>
      <c r="O1372" s="729">
        <f>IF(N1372="",0,N1372*K1372/'9b-Vloeronderhoud'!$F$4)</f>
        <v>0</v>
      </c>
      <c r="P1372" s="672"/>
      <c r="Q1372" s="729" t="e">
        <f>IF(O1372="",0,P1372*L1372/'9b-Vloeronderhoud'!$F$6)</f>
        <v>#DIV/0!</v>
      </c>
      <c r="R1372" s="449">
        <v>1</v>
      </c>
      <c r="S1372" s="672">
        <v>190</v>
      </c>
      <c r="T1372" s="161" t="e">
        <f t="shared" si="111"/>
        <v>#DIV/0!</v>
      </c>
      <c r="U1372" s="162">
        <f>IF(S1372="nio",0,IF(S1372&gt;0,VLOOKUP(G1372,'3-Productie normen'!A:K,VLOOKUP(S1372,'3-Productie normen'!L:N,3,FALSE),FALSE)))</f>
        <v>0</v>
      </c>
      <c r="V1372" s="162">
        <f>VLOOKUP(G1372,'3-Productie normen'!A:K,10,FALSE)</f>
        <v>1859.5880019121171</v>
      </c>
      <c r="W1372" s="163">
        <f>VLOOKUP(G1372,'3-Productie normen'!A:K,11,FALSE)</f>
        <v>0</v>
      </c>
      <c r="X1372" s="163"/>
      <c r="Z1372" s="129">
        <f t="shared" si="112"/>
        <v>513.00000905990601</v>
      </c>
    </row>
    <row r="1373" spans="1:26" ht="14.1" customHeight="1">
      <c r="A1373" s="144">
        <v>1411</v>
      </c>
      <c r="B1373" s="485" t="s">
        <v>243</v>
      </c>
      <c r="C1373" s="303" t="s">
        <v>650</v>
      </c>
      <c r="D1373" s="304" t="s">
        <v>98</v>
      </c>
      <c r="E1373" s="694" t="s">
        <v>317</v>
      </c>
      <c r="F1373" s="303" t="s">
        <v>302</v>
      </c>
      <c r="G1373" s="460" t="s">
        <v>18</v>
      </c>
      <c r="H1373" s="534" t="s">
        <v>954</v>
      </c>
      <c r="I1373" s="582" t="str">
        <f>VLOOKUP(H1373,'9a-Typen vloeren'!$A$10:$B$40,2,FALSE)</f>
        <v>zie kwaliteitsontwerp</v>
      </c>
      <c r="J1373" s="433">
        <v>2.7000000476837158</v>
      </c>
      <c r="K1373" s="433">
        <f t="shared" si="113"/>
        <v>0</v>
      </c>
      <c r="L1373" s="433">
        <f t="shared" si="114"/>
        <v>0</v>
      </c>
      <c r="M1373" s="433">
        <f t="shared" si="115"/>
        <v>0</v>
      </c>
      <c r="N1373" s="672"/>
      <c r="O1373" s="729">
        <f>IF(N1373="",0,N1373*K1373/'9b-Vloeronderhoud'!$F$4)</f>
        <v>0</v>
      </c>
      <c r="P1373" s="672"/>
      <c r="Q1373" s="729" t="e">
        <f>IF(O1373="",0,P1373*L1373/'9b-Vloeronderhoud'!$F$6)</f>
        <v>#DIV/0!</v>
      </c>
      <c r="R1373" s="449">
        <v>1</v>
      </c>
      <c r="S1373" s="672">
        <v>190</v>
      </c>
      <c r="T1373" s="161" t="e">
        <f t="shared" si="111"/>
        <v>#DIV/0!</v>
      </c>
      <c r="U1373" s="162">
        <f>IF(S1373="nio",0,IF(S1373&gt;0,VLOOKUP(G1373,'3-Productie normen'!A:K,VLOOKUP(S1373,'3-Productie normen'!L:N,3,FALSE),FALSE)))</f>
        <v>0</v>
      </c>
      <c r="V1373" s="162">
        <f>VLOOKUP(G1373,'3-Productie normen'!A:K,10,FALSE)</f>
        <v>1859.5880019121171</v>
      </c>
      <c r="W1373" s="163">
        <f>VLOOKUP(G1373,'3-Productie normen'!A:K,11,FALSE)</f>
        <v>0</v>
      </c>
      <c r="X1373" s="163"/>
      <c r="Z1373" s="129">
        <f t="shared" si="112"/>
        <v>513.00000905990601</v>
      </c>
    </row>
    <row r="1374" spans="1:26" ht="14.1" customHeight="1">
      <c r="A1374" s="144">
        <v>1412</v>
      </c>
      <c r="B1374" s="485" t="s">
        <v>243</v>
      </c>
      <c r="C1374" s="303" t="s">
        <v>650</v>
      </c>
      <c r="D1374" s="304" t="s">
        <v>98</v>
      </c>
      <c r="E1374" s="694" t="s">
        <v>318</v>
      </c>
      <c r="F1374" s="303" t="s">
        <v>281</v>
      </c>
      <c r="G1374" s="460" t="s">
        <v>881</v>
      </c>
      <c r="H1374" s="303" t="s">
        <v>101</v>
      </c>
      <c r="I1374" s="582" t="str">
        <f>VLOOKUP(H1374,'9a-Typen vloeren'!$A$10:$B$40,2,FALSE)</f>
        <v>Schrobben</v>
      </c>
      <c r="J1374" s="433">
        <v>3.75</v>
      </c>
      <c r="K1374" s="433">
        <f t="shared" si="113"/>
        <v>0</v>
      </c>
      <c r="L1374" s="433">
        <f t="shared" si="114"/>
        <v>0</v>
      </c>
      <c r="M1374" s="433">
        <f t="shared" si="115"/>
        <v>0</v>
      </c>
      <c r="N1374" s="672"/>
      <c r="O1374" s="729">
        <f>IF(N1374="",0,N1374*K1374/'9b-Vloeronderhoud'!$F$4)</f>
        <v>0</v>
      </c>
      <c r="P1374" s="672"/>
      <c r="Q1374" s="729" t="e">
        <f>IF(O1374="",0,P1374*L1374/'9b-Vloeronderhoud'!$F$6)</f>
        <v>#DIV/0!</v>
      </c>
      <c r="R1374" s="449">
        <v>1</v>
      </c>
      <c r="S1374" s="672" t="s">
        <v>179</v>
      </c>
      <c r="T1374" s="161">
        <f t="shared" si="111"/>
        <v>0</v>
      </c>
      <c r="U1374" s="162">
        <f>IF(S1374="nio",0,IF(S1374&gt;0,VLOOKUP(G1374,'3-Productie normen'!A:K,VLOOKUP(S1374,'3-Productie normen'!L:N,3,FALSE),FALSE)))</f>
        <v>0</v>
      </c>
      <c r="V1374" s="162">
        <f>VLOOKUP(G1374,'3-Productie normen'!A:K,10,FALSE)</f>
        <v>5262.809993648526</v>
      </c>
      <c r="W1374" s="163">
        <f>VLOOKUP(G1374,'3-Productie normen'!A:K,11,FALSE)</f>
        <v>0</v>
      </c>
      <c r="X1374" s="163"/>
      <c r="Z1374" s="129">
        <f t="shared" si="112"/>
        <v>0</v>
      </c>
    </row>
    <row r="1375" spans="1:26" ht="14.1" customHeight="1">
      <c r="A1375" s="144">
        <v>1413</v>
      </c>
      <c r="B1375" s="485" t="s">
        <v>243</v>
      </c>
      <c r="C1375" s="303" t="s">
        <v>650</v>
      </c>
      <c r="D1375" s="304" t="s">
        <v>98</v>
      </c>
      <c r="E1375" s="694" t="s">
        <v>319</v>
      </c>
      <c r="F1375" s="303" t="s">
        <v>287</v>
      </c>
      <c r="G1375" s="460" t="s">
        <v>287</v>
      </c>
      <c r="H1375" s="303" t="s">
        <v>672</v>
      </c>
      <c r="I1375" s="582" t="str">
        <f>VLOOKUP(H1375,'9a-Typen vloeren'!$A$10:$B$40,2,FALSE)</f>
        <v>Schrobben</v>
      </c>
      <c r="J1375" s="433">
        <v>7</v>
      </c>
      <c r="K1375" s="433">
        <f t="shared" si="113"/>
        <v>0</v>
      </c>
      <c r="L1375" s="433">
        <f t="shared" si="114"/>
        <v>7</v>
      </c>
      <c r="M1375" s="433">
        <f t="shared" si="115"/>
        <v>0</v>
      </c>
      <c r="N1375" s="672"/>
      <c r="O1375" s="729">
        <f>IF(N1375="",0,N1375*K1375/'9b-Vloeronderhoud'!$F$4)</f>
        <v>0</v>
      </c>
      <c r="P1375" s="672"/>
      <c r="Q1375" s="729" t="e">
        <f>IF(O1375="",0,P1375*L1375/'9b-Vloeronderhoud'!$F$6)</f>
        <v>#DIV/0!</v>
      </c>
      <c r="R1375" s="449">
        <v>1</v>
      </c>
      <c r="S1375" s="672">
        <v>80</v>
      </c>
      <c r="T1375" s="161" t="e">
        <f t="shared" si="111"/>
        <v>#DIV/0!</v>
      </c>
      <c r="U1375" s="162">
        <f>IF(S1375="nio",0,IF(S1375&gt;0,VLOOKUP(G1375,'3-Productie normen'!A:K,VLOOKUP(S1375,'3-Productie normen'!L:N,3,FALSE),FALSE)))</f>
        <v>0</v>
      </c>
      <c r="V1375" s="162">
        <f>VLOOKUP(G1375,'3-Productie normen'!A:K,10,FALSE)</f>
        <v>519.460002565384</v>
      </c>
      <c r="W1375" s="163">
        <f>VLOOKUP(G1375,'3-Productie normen'!A:K,11,FALSE)</f>
        <v>0</v>
      </c>
      <c r="X1375" s="163"/>
      <c r="Z1375" s="129">
        <f t="shared" si="112"/>
        <v>560</v>
      </c>
    </row>
    <row r="1376" spans="1:26" ht="14.1" customHeight="1">
      <c r="A1376" s="144">
        <v>1414</v>
      </c>
      <c r="B1376" s="485" t="s">
        <v>243</v>
      </c>
      <c r="C1376" s="303" t="s">
        <v>650</v>
      </c>
      <c r="D1376" s="304" t="s">
        <v>98</v>
      </c>
      <c r="E1376" s="694" t="s">
        <v>320</v>
      </c>
      <c r="F1376" s="303" t="s">
        <v>302</v>
      </c>
      <c r="G1376" s="303" t="s">
        <v>18</v>
      </c>
      <c r="H1376" s="534" t="s">
        <v>954</v>
      </c>
      <c r="I1376" s="582" t="str">
        <f>VLOOKUP(H1376,'9a-Typen vloeren'!$A$10:$B$40,2,FALSE)</f>
        <v>zie kwaliteitsontwerp</v>
      </c>
      <c r="J1376" s="433">
        <v>11.550000190734863</v>
      </c>
      <c r="K1376" s="433">
        <f t="shared" si="113"/>
        <v>0</v>
      </c>
      <c r="L1376" s="433">
        <f t="shared" si="114"/>
        <v>0</v>
      </c>
      <c r="M1376" s="433">
        <f t="shared" si="115"/>
        <v>0</v>
      </c>
      <c r="N1376" s="672"/>
      <c r="O1376" s="729">
        <f>IF(N1376="",0,N1376*K1376/'9b-Vloeronderhoud'!$F$4)</f>
        <v>0</v>
      </c>
      <c r="P1376" s="672"/>
      <c r="Q1376" s="729" t="e">
        <f>IF(O1376="",0,P1376*L1376/'9b-Vloeronderhoud'!$F$6)</f>
        <v>#DIV/0!</v>
      </c>
      <c r="R1376" s="449">
        <v>1</v>
      </c>
      <c r="S1376" s="672">
        <v>190</v>
      </c>
      <c r="T1376" s="161" t="e">
        <f t="shared" si="111"/>
        <v>#DIV/0!</v>
      </c>
      <c r="U1376" s="162">
        <f>IF(S1376="nio",0,IF(S1376&gt;0,VLOOKUP(G1376,'3-Productie normen'!A:K,VLOOKUP(S1376,'3-Productie normen'!L:N,3,FALSE),FALSE)))</f>
        <v>0</v>
      </c>
      <c r="V1376" s="162">
        <f>VLOOKUP(G1376,'3-Productie normen'!A:K,10,FALSE)</f>
        <v>1859.5880019121171</v>
      </c>
      <c r="W1376" s="163">
        <f>VLOOKUP(G1376,'3-Productie normen'!A:K,11,FALSE)</f>
        <v>0</v>
      </c>
      <c r="X1376" s="163"/>
      <c r="Z1376" s="129">
        <f t="shared" si="112"/>
        <v>2194.500036239624</v>
      </c>
    </row>
    <row r="1377" spans="1:26" ht="14.1" customHeight="1">
      <c r="A1377" s="144">
        <v>1415</v>
      </c>
      <c r="B1377" s="485" t="s">
        <v>243</v>
      </c>
      <c r="C1377" s="303" t="s">
        <v>650</v>
      </c>
      <c r="D1377" s="304" t="s">
        <v>98</v>
      </c>
      <c r="E1377" s="694" t="s">
        <v>321</v>
      </c>
      <c r="F1377" s="303" t="s">
        <v>221</v>
      </c>
      <c r="G1377" s="460" t="s">
        <v>221</v>
      </c>
      <c r="H1377" s="303" t="s">
        <v>100</v>
      </c>
      <c r="I1377" s="582" t="str">
        <f>VLOOKUP(H1377,'9a-Typen vloeren'!$A$10:$B$40,2,FALSE)</f>
        <v>Sprayen/ conserveren</v>
      </c>
      <c r="J1377" s="433">
        <v>64.25</v>
      </c>
      <c r="K1377" s="433">
        <f t="shared" si="113"/>
        <v>64.25</v>
      </c>
      <c r="L1377" s="433">
        <f t="shared" si="114"/>
        <v>0</v>
      </c>
      <c r="M1377" s="433">
        <f t="shared" si="115"/>
        <v>0</v>
      </c>
      <c r="N1377" s="672"/>
      <c r="O1377" s="729">
        <f>IF(N1377="",0,N1377*K1377/'9b-Vloeronderhoud'!$F$4)</f>
        <v>0</v>
      </c>
      <c r="P1377" s="672"/>
      <c r="Q1377" s="729" t="e">
        <f>IF(O1377="",0,P1377*L1377/'9b-Vloeronderhoud'!$F$6)</f>
        <v>#DIV/0!</v>
      </c>
      <c r="R1377" s="449">
        <v>1</v>
      </c>
      <c r="S1377" s="672">
        <v>80</v>
      </c>
      <c r="T1377" s="161" t="e">
        <f t="shared" si="111"/>
        <v>#DIV/0!</v>
      </c>
      <c r="U1377" s="162">
        <f>IF(S1377="nio",0,IF(S1377&gt;0,VLOOKUP(G1377,'3-Productie normen'!A:K,VLOOKUP(S1377,'3-Productie normen'!L:N,3,FALSE),FALSE)))</f>
        <v>0</v>
      </c>
      <c r="V1377" s="162">
        <f>VLOOKUP(G1377,'3-Productie normen'!A:K,10,FALSE)</f>
        <v>16013.110036668773</v>
      </c>
      <c r="W1377" s="163">
        <f>VLOOKUP(G1377,'3-Productie normen'!A:K,11,FALSE)</f>
        <v>0</v>
      </c>
      <c r="X1377" s="163"/>
      <c r="Z1377" s="129">
        <f t="shared" si="112"/>
        <v>5140</v>
      </c>
    </row>
    <row r="1378" spans="1:26" ht="14.1" customHeight="1">
      <c r="A1378" s="144">
        <v>1416</v>
      </c>
      <c r="B1378" s="485" t="s">
        <v>243</v>
      </c>
      <c r="C1378" s="303" t="s">
        <v>650</v>
      </c>
      <c r="D1378" s="304" t="s">
        <v>98</v>
      </c>
      <c r="E1378" s="694" t="s">
        <v>323</v>
      </c>
      <c r="F1378" s="303" t="s">
        <v>283</v>
      </c>
      <c r="G1378" s="303" t="s">
        <v>286</v>
      </c>
      <c r="H1378" s="303" t="s">
        <v>101</v>
      </c>
      <c r="I1378" s="582" t="str">
        <f>VLOOKUP(H1378,'9a-Typen vloeren'!$A$10:$B$40,2,FALSE)</f>
        <v>Schrobben</v>
      </c>
      <c r="J1378" s="433">
        <v>30.799999237060547</v>
      </c>
      <c r="K1378" s="433">
        <f t="shared" si="113"/>
        <v>0</v>
      </c>
      <c r="L1378" s="433">
        <f t="shared" si="114"/>
        <v>30.799999237060547</v>
      </c>
      <c r="M1378" s="433">
        <f t="shared" si="115"/>
        <v>0</v>
      </c>
      <c r="N1378" s="672"/>
      <c r="O1378" s="729">
        <f>IF(N1378="",0,N1378*K1378/'9b-Vloeronderhoud'!$F$4)</f>
        <v>0</v>
      </c>
      <c r="P1378" s="672">
        <v>3</v>
      </c>
      <c r="Q1378" s="729" t="e">
        <f>IF(O1378="",0,P1378*L1378/'9b-Vloeronderhoud'!$F$6)</f>
        <v>#DIV/0!</v>
      </c>
      <c r="R1378" s="449">
        <v>1</v>
      </c>
      <c r="S1378" s="672">
        <v>120</v>
      </c>
      <c r="T1378" s="161" t="e">
        <f t="shared" si="111"/>
        <v>#DIV/0!</v>
      </c>
      <c r="U1378" s="162">
        <f>IF(S1378="nio",0,IF(S1378&gt;0,VLOOKUP(G1378,'3-Productie normen'!A:K,VLOOKUP(S1378,'3-Productie normen'!L:N,3,FALSE),FALSE)))</f>
        <v>0</v>
      </c>
      <c r="V1378" s="162">
        <f>VLOOKUP(G1378,'3-Productie normen'!A:K,10,FALSE)</f>
        <v>6152.9500017547598</v>
      </c>
      <c r="W1378" s="163">
        <f>VLOOKUP(G1378,'3-Productie normen'!A:K,11,FALSE)</f>
        <v>0</v>
      </c>
      <c r="X1378" s="163"/>
      <c r="Z1378" s="129">
        <f t="shared" si="112"/>
        <v>3695.9999084472656</v>
      </c>
    </row>
    <row r="1379" spans="1:26" ht="14.1" customHeight="1">
      <c r="A1379" s="144">
        <v>1417</v>
      </c>
      <c r="B1379" s="485" t="s">
        <v>243</v>
      </c>
      <c r="C1379" s="303" t="s">
        <v>650</v>
      </c>
      <c r="D1379" s="304" t="s">
        <v>98</v>
      </c>
      <c r="E1379" s="694" t="s">
        <v>325</v>
      </c>
      <c r="F1379" s="303" t="s">
        <v>302</v>
      </c>
      <c r="G1379" s="460" t="s">
        <v>18</v>
      </c>
      <c r="H1379" s="534" t="s">
        <v>954</v>
      </c>
      <c r="I1379" s="582" t="str">
        <f>VLOOKUP(H1379,'9a-Typen vloeren'!$A$10:$B$40,2,FALSE)</f>
        <v>zie kwaliteitsontwerp</v>
      </c>
      <c r="J1379" s="433">
        <v>6.0999999046325684</v>
      </c>
      <c r="K1379" s="433">
        <f t="shared" si="113"/>
        <v>0</v>
      </c>
      <c r="L1379" s="433">
        <f t="shared" si="114"/>
        <v>0</v>
      </c>
      <c r="M1379" s="433">
        <f t="shared" si="115"/>
        <v>0</v>
      </c>
      <c r="N1379" s="672"/>
      <c r="O1379" s="729">
        <f>IF(N1379="",0,N1379*K1379/'9b-Vloeronderhoud'!$F$4)</f>
        <v>0</v>
      </c>
      <c r="P1379" s="672"/>
      <c r="Q1379" s="729" t="e">
        <f>IF(O1379="",0,P1379*L1379/'9b-Vloeronderhoud'!$F$6)</f>
        <v>#DIV/0!</v>
      </c>
      <c r="R1379" s="449">
        <v>1</v>
      </c>
      <c r="S1379" s="672">
        <v>190</v>
      </c>
      <c r="T1379" s="161" t="e">
        <f t="shared" si="111"/>
        <v>#DIV/0!</v>
      </c>
      <c r="U1379" s="162">
        <f>IF(S1379="nio",0,IF(S1379&gt;0,VLOOKUP(G1379,'3-Productie normen'!A:K,VLOOKUP(S1379,'3-Productie normen'!L:N,3,FALSE),FALSE)))</f>
        <v>0</v>
      </c>
      <c r="V1379" s="162">
        <f>VLOOKUP(G1379,'3-Productie normen'!A:K,10,FALSE)</f>
        <v>1859.5880019121171</v>
      </c>
      <c r="W1379" s="163">
        <f>VLOOKUP(G1379,'3-Productie normen'!A:K,11,FALSE)</f>
        <v>0</v>
      </c>
      <c r="X1379" s="163"/>
      <c r="Z1379" s="129">
        <f t="shared" si="112"/>
        <v>1158.999981880188</v>
      </c>
    </row>
    <row r="1380" spans="1:26" ht="14.1" customHeight="1">
      <c r="A1380" s="144">
        <v>1418</v>
      </c>
      <c r="B1380" s="485" t="s">
        <v>243</v>
      </c>
      <c r="C1380" s="303" t="s">
        <v>650</v>
      </c>
      <c r="D1380" s="304" t="s">
        <v>98</v>
      </c>
      <c r="E1380" s="694" t="s">
        <v>326</v>
      </c>
      <c r="F1380" s="303" t="s">
        <v>281</v>
      </c>
      <c r="G1380" s="460" t="s">
        <v>881</v>
      </c>
      <c r="H1380" s="303" t="s">
        <v>101</v>
      </c>
      <c r="I1380" s="582" t="str">
        <f>VLOOKUP(H1380,'9a-Typen vloeren'!$A$10:$B$40,2,FALSE)</f>
        <v>Schrobben</v>
      </c>
      <c r="J1380" s="433">
        <v>2.5</v>
      </c>
      <c r="K1380" s="433">
        <f t="shared" si="113"/>
        <v>0</v>
      </c>
      <c r="L1380" s="433">
        <f t="shared" si="114"/>
        <v>0</v>
      </c>
      <c r="M1380" s="433">
        <f t="shared" si="115"/>
        <v>0</v>
      </c>
      <c r="N1380" s="672"/>
      <c r="O1380" s="729">
        <f>IF(N1380="",0,N1380*K1380/'9b-Vloeronderhoud'!$F$4)</f>
        <v>0</v>
      </c>
      <c r="P1380" s="672"/>
      <c r="Q1380" s="729" t="e">
        <f>IF(O1380="",0,P1380*L1380/'9b-Vloeronderhoud'!$F$6)</f>
        <v>#DIV/0!</v>
      </c>
      <c r="R1380" s="449">
        <v>1</v>
      </c>
      <c r="S1380" s="672" t="s">
        <v>179</v>
      </c>
      <c r="T1380" s="161">
        <f t="shared" si="111"/>
        <v>0</v>
      </c>
      <c r="U1380" s="162">
        <f>IF(S1380="nio",0,IF(S1380&gt;0,VLOOKUP(G1380,'3-Productie normen'!A:K,VLOOKUP(S1380,'3-Productie normen'!L:N,3,FALSE),FALSE)))</f>
        <v>0</v>
      </c>
      <c r="V1380" s="162">
        <f>VLOOKUP(G1380,'3-Productie normen'!A:K,10,FALSE)</f>
        <v>5262.809993648526</v>
      </c>
      <c r="W1380" s="163">
        <f>VLOOKUP(G1380,'3-Productie normen'!A:K,11,FALSE)</f>
        <v>0</v>
      </c>
      <c r="X1380" s="163"/>
      <c r="Z1380" s="129">
        <f t="shared" si="112"/>
        <v>0</v>
      </c>
    </row>
    <row r="1381" spans="1:26" ht="14.1" customHeight="1">
      <c r="A1381" s="144">
        <v>1419</v>
      </c>
      <c r="B1381" s="485" t="s">
        <v>243</v>
      </c>
      <c r="C1381" s="303" t="s">
        <v>650</v>
      </c>
      <c r="D1381" s="304" t="s">
        <v>98</v>
      </c>
      <c r="E1381" s="694" t="s">
        <v>328</v>
      </c>
      <c r="F1381" s="303" t="s">
        <v>221</v>
      </c>
      <c r="G1381" s="122" t="s">
        <v>221</v>
      </c>
      <c r="H1381" s="303" t="s">
        <v>100</v>
      </c>
      <c r="I1381" s="582" t="str">
        <f>VLOOKUP(H1381,'9a-Typen vloeren'!$A$10:$B$40,2,FALSE)</f>
        <v>Sprayen/ conserveren</v>
      </c>
      <c r="J1381" s="433">
        <v>44.849998474121094</v>
      </c>
      <c r="K1381" s="433">
        <f t="shared" si="113"/>
        <v>44.849998474121094</v>
      </c>
      <c r="L1381" s="433">
        <f t="shared" si="114"/>
        <v>0</v>
      </c>
      <c r="M1381" s="433">
        <f t="shared" si="115"/>
        <v>0</v>
      </c>
      <c r="N1381" s="672"/>
      <c r="O1381" s="729">
        <f>IF(N1381="",0,N1381*K1381/'9b-Vloeronderhoud'!$F$4)</f>
        <v>0</v>
      </c>
      <c r="P1381" s="672"/>
      <c r="Q1381" s="729" t="e">
        <f>IF(O1381="",0,P1381*L1381/'9b-Vloeronderhoud'!$F$6)</f>
        <v>#DIV/0!</v>
      </c>
      <c r="R1381" s="449">
        <v>1</v>
      </c>
      <c r="S1381" s="688" t="s">
        <v>179</v>
      </c>
      <c r="T1381" s="161">
        <f t="shared" si="111"/>
        <v>0</v>
      </c>
      <c r="U1381" s="162">
        <f>IF(S1381="nio",0,IF(S1381&gt;0,VLOOKUP(G1381,'3-Productie normen'!A:K,VLOOKUP(S1381,'3-Productie normen'!L:N,3,FALSE),FALSE)))</f>
        <v>0</v>
      </c>
      <c r="V1381" s="162">
        <f>VLOOKUP(G1381,'3-Productie normen'!A:K,10,FALSE)</f>
        <v>16013.110036668773</v>
      </c>
      <c r="W1381" s="163">
        <f>VLOOKUP(G1381,'3-Productie normen'!A:K,11,FALSE)</f>
        <v>0</v>
      </c>
      <c r="X1381" s="163"/>
      <c r="Z1381" s="129">
        <f t="shared" si="112"/>
        <v>0</v>
      </c>
    </row>
    <row r="1382" spans="1:26" ht="14.1" customHeight="1">
      <c r="A1382" s="144">
        <v>1420</v>
      </c>
      <c r="B1382" s="485" t="s">
        <v>243</v>
      </c>
      <c r="C1382" s="303" t="s">
        <v>650</v>
      </c>
      <c r="D1382" s="304" t="s">
        <v>98</v>
      </c>
      <c r="E1382" s="694" t="s">
        <v>329</v>
      </c>
      <c r="F1382" s="303" t="s">
        <v>221</v>
      </c>
      <c r="G1382" s="122" t="s">
        <v>221</v>
      </c>
      <c r="H1382" s="303" t="s">
        <v>100</v>
      </c>
      <c r="I1382" s="582" t="str">
        <f>VLOOKUP(H1382,'9a-Typen vloeren'!$A$10:$B$40,2,FALSE)</f>
        <v>Sprayen/ conserveren</v>
      </c>
      <c r="J1382" s="433">
        <v>53.950000762939453</v>
      </c>
      <c r="K1382" s="433">
        <f t="shared" si="113"/>
        <v>53.950000762939453</v>
      </c>
      <c r="L1382" s="433">
        <f t="shared" si="114"/>
        <v>0</v>
      </c>
      <c r="M1382" s="433">
        <f t="shared" si="115"/>
        <v>0</v>
      </c>
      <c r="N1382" s="672"/>
      <c r="O1382" s="729">
        <f>IF(N1382="",0,N1382*K1382/'9b-Vloeronderhoud'!$F$4)</f>
        <v>0</v>
      </c>
      <c r="P1382" s="672"/>
      <c r="Q1382" s="729" t="e">
        <f>IF(O1382="",0,P1382*L1382/'9b-Vloeronderhoud'!$F$6)</f>
        <v>#DIV/0!</v>
      </c>
      <c r="R1382" s="449">
        <v>1</v>
      </c>
      <c r="S1382" s="688" t="s">
        <v>179</v>
      </c>
      <c r="T1382" s="161">
        <f t="shared" si="111"/>
        <v>0</v>
      </c>
      <c r="U1382" s="162">
        <f>IF(S1382="nio",0,IF(S1382&gt;0,VLOOKUP(G1382,'3-Productie normen'!A:K,VLOOKUP(S1382,'3-Productie normen'!L:N,3,FALSE),FALSE)))</f>
        <v>0</v>
      </c>
      <c r="V1382" s="162">
        <f>VLOOKUP(G1382,'3-Productie normen'!A:K,10,FALSE)</f>
        <v>16013.110036668773</v>
      </c>
      <c r="W1382" s="163">
        <f>VLOOKUP(G1382,'3-Productie normen'!A:K,11,FALSE)</f>
        <v>0</v>
      </c>
      <c r="X1382" s="163"/>
      <c r="Z1382" s="129">
        <f t="shared" si="112"/>
        <v>0</v>
      </c>
    </row>
    <row r="1383" spans="1:26" ht="14.1" customHeight="1">
      <c r="A1383" s="144">
        <v>1421</v>
      </c>
      <c r="B1383" s="485" t="s">
        <v>243</v>
      </c>
      <c r="C1383" s="303" t="s">
        <v>650</v>
      </c>
      <c r="D1383" s="304" t="s">
        <v>98</v>
      </c>
      <c r="E1383" s="694" t="s">
        <v>330</v>
      </c>
      <c r="F1383" s="303" t="s">
        <v>221</v>
      </c>
      <c r="G1383" s="460" t="s">
        <v>221</v>
      </c>
      <c r="H1383" s="303" t="s">
        <v>100</v>
      </c>
      <c r="I1383" s="582" t="str">
        <f>VLOOKUP(H1383,'9a-Typen vloeren'!$A$10:$B$40,2,FALSE)</f>
        <v>Sprayen/ conserveren</v>
      </c>
      <c r="J1383" s="433">
        <v>70</v>
      </c>
      <c r="K1383" s="433">
        <f t="shared" si="113"/>
        <v>70</v>
      </c>
      <c r="L1383" s="433">
        <f t="shared" si="114"/>
        <v>0</v>
      </c>
      <c r="M1383" s="433">
        <f t="shared" si="115"/>
        <v>0</v>
      </c>
      <c r="N1383" s="672"/>
      <c r="O1383" s="729">
        <f>IF(N1383="",0,N1383*K1383/'9b-Vloeronderhoud'!$F$4)</f>
        <v>0</v>
      </c>
      <c r="P1383" s="672"/>
      <c r="Q1383" s="729" t="e">
        <f>IF(O1383="",0,P1383*L1383/'9b-Vloeronderhoud'!$F$6)</f>
        <v>#DIV/0!</v>
      </c>
      <c r="R1383" s="449">
        <v>1</v>
      </c>
      <c r="S1383" s="672">
        <v>80</v>
      </c>
      <c r="T1383" s="161" t="e">
        <f t="shared" si="111"/>
        <v>#DIV/0!</v>
      </c>
      <c r="U1383" s="162">
        <f>IF(S1383="nio",0,IF(S1383&gt;0,VLOOKUP(G1383,'3-Productie normen'!A:K,VLOOKUP(S1383,'3-Productie normen'!L:N,3,FALSE),FALSE)))</f>
        <v>0</v>
      </c>
      <c r="V1383" s="162">
        <f>VLOOKUP(G1383,'3-Productie normen'!A:K,10,FALSE)</f>
        <v>16013.110036668773</v>
      </c>
      <c r="W1383" s="163">
        <f>VLOOKUP(G1383,'3-Productie normen'!A:K,11,FALSE)</f>
        <v>0</v>
      </c>
      <c r="X1383" s="163"/>
      <c r="Z1383" s="129">
        <f t="shared" si="112"/>
        <v>5600</v>
      </c>
    </row>
    <row r="1384" spans="1:26" ht="14.1" customHeight="1">
      <c r="A1384" s="144">
        <v>1422</v>
      </c>
      <c r="B1384" s="485" t="s">
        <v>243</v>
      </c>
      <c r="C1384" s="303" t="s">
        <v>650</v>
      </c>
      <c r="D1384" s="304" t="s">
        <v>98</v>
      </c>
      <c r="E1384" s="694" t="s">
        <v>331</v>
      </c>
      <c r="F1384" s="303" t="s">
        <v>283</v>
      </c>
      <c r="G1384" s="303" t="s">
        <v>286</v>
      </c>
      <c r="H1384" s="303" t="s">
        <v>101</v>
      </c>
      <c r="I1384" s="582" t="str">
        <f>VLOOKUP(H1384,'9a-Typen vloeren'!$A$10:$B$40,2,FALSE)</f>
        <v>Schrobben</v>
      </c>
      <c r="J1384" s="433">
        <v>22.649999618530273</v>
      </c>
      <c r="K1384" s="433">
        <f t="shared" si="113"/>
        <v>0</v>
      </c>
      <c r="L1384" s="433">
        <f t="shared" si="114"/>
        <v>22.649999618530273</v>
      </c>
      <c r="M1384" s="433">
        <f t="shared" si="115"/>
        <v>0</v>
      </c>
      <c r="N1384" s="672"/>
      <c r="O1384" s="729">
        <f>IF(N1384="",0,N1384*K1384/'9b-Vloeronderhoud'!$F$4)</f>
        <v>0</v>
      </c>
      <c r="P1384" s="672">
        <v>3</v>
      </c>
      <c r="Q1384" s="729" t="e">
        <f>IF(O1384="",0,P1384*L1384/'9b-Vloeronderhoud'!$F$6)</f>
        <v>#DIV/0!</v>
      </c>
      <c r="R1384" s="449">
        <v>1</v>
      </c>
      <c r="S1384" s="672">
        <v>120</v>
      </c>
      <c r="T1384" s="161" t="e">
        <f t="shared" si="111"/>
        <v>#DIV/0!</v>
      </c>
      <c r="U1384" s="162">
        <f>IF(S1384="nio",0,IF(S1384&gt;0,VLOOKUP(G1384,'3-Productie normen'!A:K,VLOOKUP(S1384,'3-Productie normen'!L:N,3,FALSE),FALSE)))</f>
        <v>0</v>
      </c>
      <c r="V1384" s="162">
        <f>VLOOKUP(G1384,'3-Productie normen'!A:K,10,FALSE)</f>
        <v>6152.9500017547598</v>
      </c>
      <c r="W1384" s="163">
        <f>VLOOKUP(G1384,'3-Productie normen'!A:K,11,FALSE)</f>
        <v>0</v>
      </c>
      <c r="X1384" s="163"/>
      <c r="Z1384" s="129">
        <f t="shared" si="112"/>
        <v>2717.9999542236328</v>
      </c>
    </row>
    <row r="1385" spans="1:26" ht="14.1" customHeight="1">
      <c r="A1385" s="144">
        <v>1423</v>
      </c>
      <c r="B1385" s="485" t="s">
        <v>243</v>
      </c>
      <c r="C1385" s="303" t="s">
        <v>650</v>
      </c>
      <c r="D1385" s="304" t="s">
        <v>98</v>
      </c>
      <c r="E1385" s="694" t="s">
        <v>406</v>
      </c>
      <c r="F1385" s="303" t="s">
        <v>302</v>
      </c>
      <c r="G1385" s="303" t="s">
        <v>18</v>
      </c>
      <c r="H1385" s="534" t="s">
        <v>954</v>
      </c>
      <c r="I1385" s="582" t="str">
        <f>VLOOKUP(H1385,'9a-Typen vloeren'!$A$10:$B$40,2,FALSE)</f>
        <v>zie kwaliteitsontwerp</v>
      </c>
      <c r="J1385" s="433">
        <v>3.4500000476837158</v>
      </c>
      <c r="K1385" s="433">
        <f t="shared" si="113"/>
        <v>0</v>
      </c>
      <c r="L1385" s="433">
        <f t="shared" si="114"/>
        <v>0</v>
      </c>
      <c r="M1385" s="433">
        <f t="shared" si="115"/>
        <v>0</v>
      </c>
      <c r="N1385" s="672"/>
      <c r="O1385" s="729">
        <f>IF(N1385="",0,N1385*K1385/'9b-Vloeronderhoud'!$F$4)</f>
        <v>0</v>
      </c>
      <c r="P1385" s="672"/>
      <c r="Q1385" s="729" t="e">
        <f>IF(O1385="",0,P1385*L1385/'9b-Vloeronderhoud'!$F$6)</f>
        <v>#DIV/0!</v>
      </c>
      <c r="R1385" s="449">
        <v>1</v>
      </c>
      <c r="S1385" s="672">
        <v>190</v>
      </c>
      <c r="T1385" s="161" t="e">
        <f t="shared" si="111"/>
        <v>#DIV/0!</v>
      </c>
      <c r="U1385" s="162">
        <f>IF(S1385="nio",0,IF(S1385&gt;0,VLOOKUP(G1385,'3-Productie normen'!A:K,VLOOKUP(S1385,'3-Productie normen'!L:N,3,FALSE),FALSE)))</f>
        <v>0</v>
      </c>
      <c r="V1385" s="162">
        <f>VLOOKUP(G1385,'3-Productie normen'!A:K,10,FALSE)</f>
        <v>1859.5880019121171</v>
      </c>
      <c r="W1385" s="163">
        <f>VLOOKUP(G1385,'3-Productie normen'!A:K,11,FALSE)</f>
        <v>0</v>
      </c>
      <c r="X1385" s="163"/>
      <c r="Z1385" s="129">
        <f t="shared" si="112"/>
        <v>655.50000905990601</v>
      </c>
    </row>
    <row r="1386" spans="1:26" ht="14.1" customHeight="1">
      <c r="A1386" s="144">
        <v>1424</v>
      </c>
      <c r="B1386" s="485" t="s">
        <v>243</v>
      </c>
      <c r="C1386" s="303" t="s">
        <v>650</v>
      </c>
      <c r="D1386" s="304" t="s">
        <v>98</v>
      </c>
      <c r="E1386" s="694" t="s">
        <v>407</v>
      </c>
      <c r="F1386" s="303" t="s">
        <v>302</v>
      </c>
      <c r="G1386" s="303" t="s">
        <v>18</v>
      </c>
      <c r="H1386" s="534" t="s">
        <v>954</v>
      </c>
      <c r="I1386" s="582" t="str">
        <f>VLOOKUP(H1386,'9a-Typen vloeren'!$A$10:$B$40,2,FALSE)</f>
        <v>zie kwaliteitsontwerp</v>
      </c>
      <c r="J1386" s="433">
        <v>3.4500000476837158</v>
      </c>
      <c r="K1386" s="433">
        <f t="shared" si="113"/>
        <v>0</v>
      </c>
      <c r="L1386" s="433">
        <f t="shared" si="114"/>
        <v>0</v>
      </c>
      <c r="M1386" s="433">
        <f t="shared" si="115"/>
        <v>0</v>
      </c>
      <c r="N1386" s="672"/>
      <c r="O1386" s="729">
        <f>IF(N1386="",0,N1386*K1386/'9b-Vloeronderhoud'!$F$4)</f>
        <v>0</v>
      </c>
      <c r="P1386" s="672"/>
      <c r="Q1386" s="729" t="e">
        <f>IF(O1386="",0,P1386*L1386/'9b-Vloeronderhoud'!$F$6)</f>
        <v>#DIV/0!</v>
      </c>
      <c r="R1386" s="449">
        <v>1</v>
      </c>
      <c r="S1386" s="672">
        <v>190</v>
      </c>
      <c r="T1386" s="161" t="e">
        <f t="shared" si="111"/>
        <v>#DIV/0!</v>
      </c>
      <c r="U1386" s="162">
        <f>IF(S1386="nio",0,IF(S1386&gt;0,VLOOKUP(G1386,'3-Productie normen'!A:K,VLOOKUP(S1386,'3-Productie normen'!L:N,3,FALSE),FALSE)))</f>
        <v>0</v>
      </c>
      <c r="V1386" s="162">
        <f>VLOOKUP(G1386,'3-Productie normen'!A:K,10,FALSE)</f>
        <v>1859.5880019121171</v>
      </c>
      <c r="W1386" s="163">
        <f>VLOOKUP(G1386,'3-Productie normen'!A:K,11,FALSE)</f>
        <v>0</v>
      </c>
      <c r="X1386" s="163"/>
      <c r="Z1386" s="129">
        <f t="shared" si="112"/>
        <v>655.50000905990601</v>
      </c>
    </row>
    <row r="1387" spans="1:26" ht="14.1" customHeight="1">
      <c r="A1387" s="144">
        <v>1425</v>
      </c>
      <c r="B1387" s="485" t="s">
        <v>243</v>
      </c>
      <c r="C1387" s="303" t="s">
        <v>650</v>
      </c>
      <c r="D1387" s="304" t="s">
        <v>98</v>
      </c>
      <c r="E1387" s="694" t="s">
        <v>408</v>
      </c>
      <c r="F1387" s="303" t="s">
        <v>285</v>
      </c>
      <c r="G1387" s="303" t="s">
        <v>285</v>
      </c>
      <c r="H1387" s="303" t="s">
        <v>100</v>
      </c>
      <c r="I1387" s="582" t="str">
        <f>VLOOKUP(H1387,'9a-Typen vloeren'!$A$10:$B$40,2,FALSE)</f>
        <v>Sprayen/ conserveren</v>
      </c>
      <c r="J1387" s="433">
        <v>70</v>
      </c>
      <c r="K1387" s="433">
        <f t="shared" si="113"/>
        <v>70</v>
      </c>
      <c r="L1387" s="433">
        <f t="shared" si="114"/>
        <v>0</v>
      </c>
      <c r="M1387" s="433">
        <f t="shared" si="115"/>
        <v>0</v>
      </c>
      <c r="N1387" s="672"/>
      <c r="O1387" s="729">
        <f>IF(N1387="",0,N1387*K1387/'9b-Vloeronderhoud'!$F$4)</f>
        <v>0</v>
      </c>
      <c r="P1387" s="672"/>
      <c r="Q1387" s="729" t="e">
        <f>IF(O1387="",0,P1387*L1387/'9b-Vloeronderhoud'!$F$6)</f>
        <v>#DIV/0!</v>
      </c>
      <c r="R1387" s="449">
        <v>1</v>
      </c>
      <c r="S1387" s="672">
        <v>190</v>
      </c>
      <c r="T1387" s="161" t="e">
        <f t="shared" si="111"/>
        <v>#DIV/0!</v>
      </c>
      <c r="U1387" s="162">
        <f>IF(S1387="nio",0,IF(S1387&gt;0,VLOOKUP(G1387,'3-Productie normen'!A:K,VLOOKUP(S1387,'3-Productie normen'!L:N,3,FALSE),FALSE)))</f>
        <v>0</v>
      </c>
      <c r="V1387" s="162">
        <f>VLOOKUP(G1387,'3-Productie normen'!A:K,10,FALSE)</f>
        <v>3305.8200070953367</v>
      </c>
      <c r="W1387" s="163">
        <f>VLOOKUP(G1387,'3-Productie normen'!A:K,11,FALSE)</f>
        <v>0</v>
      </c>
      <c r="X1387" s="163"/>
      <c r="Z1387" s="129">
        <f t="shared" si="112"/>
        <v>13300</v>
      </c>
    </row>
    <row r="1388" spans="1:26" ht="14.1" customHeight="1">
      <c r="A1388" s="144">
        <v>1426</v>
      </c>
      <c r="B1388" s="485" t="s">
        <v>243</v>
      </c>
      <c r="C1388" s="303" t="s">
        <v>650</v>
      </c>
      <c r="D1388" s="304" t="s">
        <v>98</v>
      </c>
      <c r="E1388" s="694" t="s">
        <v>414</v>
      </c>
      <c r="F1388" s="303" t="s">
        <v>302</v>
      </c>
      <c r="G1388" s="122" t="s">
        <v>18</v>
      </c>
      <c r="H1388" s="534" t="s">
        <v>954</v>
      </c>
      <c r="I1388" s="582" t="str">
        <f>VLOOKUP(H1388,'9a-Typen vloeren'!$A$10:$B$40,2,FALSE)</f>
        <v>zie kwaliteitsontwerp</v>
      </c>
      <c r="J1388" s="433">
        <v>8</v>
      </c>
      <c r="K1388" s="433">
        <f t="shared" si="113"/>
        <v>0</v>
      </c>
      <c r="L1388" s="433">
        <f t="shared" si="114"/>
        <v>0</v>
      </c>
      <c r="M1388" s="433">
        <f t="shared" si="115"/>
        <v>0</v>
      </c>
      <c r="N1388" s="672"/>
      <c r="O1388" s="729">
        <f>IF(N1388="",0,N1388*K1388/'9b-Vloeronderhoud'!$F$4)</f>
        <v>0</v>
      </c>
      <c r="P1388" s="672"/>
      <c r="Q1388" s="729" t="e">
        <f>IF(O1388="",0,P1388*L1388/'9b-Vloeronderhoud'!$F$6)</f>
        <v>#DIV/0!</v>
      </c>
      <c r="R1388" s="449">
        <v>1</v>
      </c>
      <c r="S1388" s="672">
        <v>190</v>
      </c>
      <c r="T1388" s="161" t="e">
        <f t="shared" si="111"/>
        <v>#DIV/0!</v>
      </c>
      <c r="U1388" s="162">
        <f>IF(S1388="nio",0,IF(S1388&gt;0,VLOOKUP(G1388,'3-Productie normen'!A:K,VLOOKUP(S1388,'3-Productie normen'!L:N,3,FALSE),FALSE)))</f>
        <v>0</v>
      </c>
      <c r="V1388" s="162">
        <f>VLOOKUP(G1388,'3-Productie normen'!A:K,10,FALSE)</f>
        <v>1859.5880019121171</v>
      </c>
      <c r="W1388" s="163">
        <f>VLOOKUP(G1388,'3-Productie normen'!A:K,11,FALSE)</f>
        <v>0</v>
      </c>
      <c r="X1388" s="163"/>
      <c r="Z1388" s="129">
        <f t="shared" si="112"/>
        <v>1520</v>
      </c>
    </row>
    <row r="1389" spans="1:26" ht="14.1" customHeight="1">
      <c r="A1389" s="144">
        <v>1427</v>
      </c>
      <c r="B1389" s="485" t="s">
        <v>243</v>
      </c>
      <c r="C1389" s="303" t="s">
        <v>650</v>
      </c>
      <c r="D1389" s="304" t="s">
        <v>98</v>
      </c>
      <c r="E1389" s="694" t="s">
        <v>415</v>
      </c>
      <c r="F1389" s="303" t="s">
        <v>313</v>
      </c>
      <c r="G1389" s="460" t="s">
        <v>881</v>
      </c>
      <c r="H1389" s="303" t="s">
        <v>100</v>
      </c>
      <c r="I1389" s="582" t="str">
        <f>VLOOKUP(H1389,'9a-Typen vloeren'!$A$10:$B$40,2,FALSE)</f>
        <v>Sprayen/ conserveren</v>
      </c>
      <c r="J1389" s="433">
        <v>16.350000381469727</v>
      </c>
      <c r="K1389" s="433">
        <f t="shared" si="113"/>
        <v>0</v>
      </c>
      <c r="L1389" s="433">
        <f t="shared" si="114"/>
        <v>0</v>
      </c>
      <c r="M1389" s="433">
        <f t="shared" si="115"/>
        <v>0</v>
      </c>
      <c r="N1389" s="672"/>
      <c r="O1389" s="729">
        <f>IF(N1389="",0,N1389*K1389/'9b-Vloeronderhoud'!$F$4)</f>
        <v>0</v>
      </c>
      <c r="P1389" s="672"/>
      <c r="Q1389" s="729" t="e">
        <f>IF(O1389="",0,P1389*L1389/'9b-Vloeronderhoud'!$F$6)</f>
        <v>#DIV/0!</v>
      </c>
      <c r="R1389" s="449">
        <v>1</v>
      </c>
      <c r="S1389" s="672" t="s">
        <v>179</v>
      </c>
      <c r="T1389" s="161">
        <f t="shared" si="111"/>
        <v>0</v>
      </c>
      <c r="U1389" s="162">
        <f>IF(S1389="nio",0,IF(S1389&gt;0,VLOOKUP(G1389,'3-Productie normen'!A:K,VLOOKUP(S1389,'3-Productie normen'!L:N,3,FALSE),FALSE)))</f>
        <v>0</v>
      </c>
      <c r="V1389" s="162">
        <f>VLOOKUP(G1389,'3-Productie normen'!A:K,10,FALSE)</f>
        <v>5262.809993648526</v>
      </c>
      <c r="W1389" s="163">
        <f>VLOOKUP(G1389,'3-Productie normen'!A:K,11,FALSE)</f>
        <v>0</v>
      </c>
      <c r="X1389" s="163"/>
      <c r="Z1389" s="129">
        <f t="shared" si="112"/>
        <v>0</v>
      </c>
    </row>
    <row r="1390" spans="1:26" ht="14.1" customHeight="1">
      <c r="A1390" s="144">
        <v>1428</v>
      </c>
      <c r="B1390" s="485" t="s">
        <v>243</v>
      </c>
      <c r="C1390" s="303" t="s">
        <v>650</v>
      </c>
      <c r="D1390" s="304">
        <v>1</v>
      </c>
      <c r="E1390" s="694" t="s">
        <v>351</v>
      </c>
      <c r="F1390" s="303" t="s">
        <v>302</v>
      </c>
      <c r="G1390" s="533" t="s">
        <v>18</v>
      </c>
      <c r="H1390" s="534" t="s">
        <v>954</v>
      </c>
      <c r="I1390" s="582" t="str">
        <f>VLOOKUP(H1390,'9a-Typen vloeren'!$A$10:$B$40,2,FALSE)</f>
        <v>zie kwaliteitsontwerp</v>
      </c>
      <c r="J1390" s="433">
        <v>5.4000000953674316</v>
      </c>
      <c r="K1390" s="433">
        <f t="shared" si="113"/>
        <v>0</v>
      </c>
      <c r="L1390" s="433">
        <f t="shared" si="114"/>
        <v>0</v>
      </c>
      <c r="M1390" s="433">
        <f t="shared" si="115"/>
        <v>0</v>
      </c>
      <c r="N1390" s="672"/>
      <c r="O1390" s="729">
        <f>IF(N1390="",0,N1390*K1390/'9b-Vloeronderhoud'!$F$4)</f>
        <v>0</v>
      </c>
      <c r="P1390" s="672"/>
      <c r="Q1390" s="729" t="e">
        <f>IF(O1390="",0,P1390*L1390/'9b-Vloeronderhoud'!$F$6)</f>
        <v>#DIV/0!</v>
      </c>
      <c r="R1390" s="449">
        <v>1</v>
      </c>
      <c r="S1390" s="672">
        <v>190</v>
      </c>
      <c r="T1390" s="161" t="e">
        <f t="shared" si="111"/>
        <v>#DIV/0!</v>
      </c>
      <c r="U1390" s="162">
        <f>IF(S1390="nio",0,IF(S1390&gt;0,VLOOKUP(G1390,'3-Productie normen'!A:K,VLOOKUP(S1390,'3-Productie normen'!L:N,3,FALSE),FALSE)))</f>
        <v>0</v>
      </c>
      <c r="V1390" s="162">
        <f>VLOOKUP(G1390,'3-Productie normen'!A:K,10,FALSE)</f>
        <v>1859.5880019121171</v>
      </c>
      <c r="W1390" s="163">
        <f>VLOOKUP(G1390,'3-Productie normen'!A:K,11,FALSE)</f>
        <v>0</v>
      </c>
      <c r="X1390" s="163"/>
      <c r="Z1390" s="129">
        <f t="shared" si="112"/>
        <v>1026.000018119812</v>
      </c>
    </row>
    <row r="1391" spans="1:26" ht="14.1" customHeight="1">
      <c r="A1391" s="144">
        <v>1429</v>
      </c>
      <c r="B1391" s="485" t="s">
        <v>243</v>
      </c>
      <c r="C1391" s="303" t="s">
        <v>650</v>
      </c>
      <c r="D1391" s="304">
        <v>1</v>
      </c>
      <c r="E1391" s="694" t="s">
        <v>352</v>
      </c>
      <c r="F1391" s="303" t="s">
        <v>412</v>
      </c>
      <c r="G1391" s="533" t="s">
        <v>221</v>
      </c>
      <c r="H1391" s="303" t="s">
        <v>332</v>
      </c>
      <c r="I1391" s="582" t="str">
        <f>VLOOKUP(H1391,'9a-Typen vloeren'!$A$10:$B$40,2,FALSE)</f>
        <v>Sproei/extraheren</v>
      </c>
      <c r="J1391" s="433">
        <v>2.7000000476837158</v>
      </c>
      <c r="K1391" s="433">
        <f t="shared" si="113"/>
        <v>0</v>
      </c>
      <c r="L1391" s="433">
        <f t="shared" si="114"/>
        <v>0</v>
      </c>
      <c r="M1391" s="433">
        <f t="shared" si="115"/>
        <v>2.7000000476837158</v>
      </c>
      <c r="N1391" s="672"/>
      <c r="O1391" s="729">
        <f>IF(N1391="",0,N1391*K1391/'9b-Vloeronderhoud'!$F$4)</f>
        <v>0</v>
      </c>
      <c r="P1391" s="672"/>
      <c r="Q1391" s="729" t="e">
        <f>IF(O1391="",0,P1391*L1391/'9b-Vloeronderhoud'!$F$6)</f>
        <v>#DIV/0!</v>
      </c>
      <c r="R1391" s="449">
        <v>1</v>
      </c>
      <c r="S1391" s="672">
        <v>80</v>
      </c>
      <c r="T1391" s="161" t="e">
        <f t="shared" si="111"/>
        <v>#DIV/0!</v>
      </c>
      <c r="U1391" s="162">
        <f>IF(S1391="nio",0,IF(S1391&gt;0,VLOOKUP(G1391,'3-Productie normen'!A:K,VLOOKUP(S1391,'3-Productie normen'!L:N,3,FALSE),FALSE)))</f>
        <v>0</v>
      </c>
      <c r="V1391" s="162">
        <f>VLOOKUP(G1391,'3-Productie normen'!A:K,10,FALSE)</f>
        <v>16013.110036668773</v>
      </c>
      <c r="W1391" s="163">
        <f>VLOOKUP(G1391,'3-Productie normen'!A:K,11,FALSE)</f>
        <v>0</v>
      </c>
      <c r="X1391" s="163"/>
      <c r="Z1391" s="129">
        <f t="shared" si="112"/>
        <v>216.00000381469727</v>
      </c>
    </row>
    <row r="1392" spans="1:26" ht="14.1" customHeight="1">
      <c r="A1392" s="144">
        <v>1430</v>
      </c>
      <c r="B1392" s="485" t="s">
        <v>243</v>
      </c>
      <c r="C1392" s="303" t="s">
        <v>650</v>
      </c>
      <c r="D1392" s="304">
        <v>1</v>
      </c>
      <c r="E1392" s="694" t="s">
        <v>354</v>
      </c>
      <c r="F1392" s="303" t="s">
        <v>221</v>
      </c>
      <c r="G1392" s="122" t="s">
        <v>221</v>
      </c>
      <c r="H1392" s="303" t="s">
        <v>100</v>
      </c>
      <c r="I1392" s="582" t="str">
        <f>VLOOKUP(H1392,'9a-Typen vloeren'!$A$10:$B$40,2,FALSE)</f>
        <v>Sprayen/ conserveren</v>
      </c>
      <c r="J1392" s="433">
        <v>54.75</v>
      </c>
      <c r="K1392" s="433">
        <f t="shared" si="113"/>
        <v>54.75</v>
      </c>
      <c r="L1392" s="433">
        <f t="shared" si="114"/>
        <v>0</v>
      </c>
      <c r="M1392" s="433">
        <f t="shared" si="115"/>
        <v>0</v>
      </c>
      <c r="N1392" s="672"/>
      <c r="O1392" s="729">
        <f>IF(N1392="",0,N1392*K1392/'9b-Vloeronderhoud'!$F$4)</f>
        <v>0</v>
      </c>
      <c r="P1392" s="672"/>
      <c r="Q1392" s="729" t="e">
        <f>IF(O1392="",0,P1392*L1392/'9b-Vloeronderhoud'!$F$6)</f>
        <v>#DIV/0!</v>
      </c>
      <c r="R1392" s="449">
        <v>1</v>
      </c>
      <c r="S1392" s="688" t="s">
        <v>179</v>
      </c>
      <c r="T1392" s="161">
        <f t="shared" si="111"/>
        <v>0</v>
      </c>
      <c r="U1392" s="162">
        <f>IF(S1392="nio",0,IF(S1392&gt;0,VLOOKUP(G1392,'3-Productie normen'!A:K,VLOOKUP(S1392,'3-Productie normen'!L:N,3,FALSE),FALSE)))</f>
        <v>0</v>
      </c>
      <c r="V1392" s="162">
        <f>VLOOKUP(G1392,'3-Productie normen'!A:K,10,FALSE)</f>
        <v>16013.110036668773</v>
      </c>
      <c r="W1392" s="163">
        <f>VLOOKUP(G1392,'3-Productie normen'!A:K,11,FALSE)</f>
        <v>0</v>
      </c>
      <c r="X1392" s="163"/>
      <c r="Z1392" s="129">
        <f t="shared" si="112"/>
        <v>0</v>
      </c>
    </row>
    <row r="1393" spans="1:26" ht="14.1" customHeight="1">
      <c r="A1393" s="144">
        <v>1431</v>
      </c>
      <c r="B1393" s="485" t="s">
        <v>243</v>
      </c>
      <c r="C1393" s="303" t="s">
        <v>650</v>
      </c>
      <c r="D1393" s="304">
        <v>1</v>
      </c>
      <c r="E1393" s="694" t="s">
        <v>355</v>
      </c>
      <c r="F1393" s="303" t="s">
        <v>221</v>
      </c>
      <c r="G1393" s="533" t="s">
        <v>221</v>
      </c>
      <c r="H1393" s="303" t="s">
        <v>100</v>
      </c>
      <c r="I1393" s="582" t="str">
        <f>VLOOKUP(H1393,'9a-Typen vloeren'!$A$10:$B$40,2,FALSE)</f>
        <v>Sprayen/ conserveren</v>
      </c>
      <c r="J1393" s="433">
        <v>45.799999237060547</v>
      </c>
      <c r="K1393" s="433">
        <f t="shared" si="113"/>
        <v>45.799999237060547</v>
      </c>
      <c r="L1393" s="433">
        <f t="shared" si="114"/>
        <v>0</v>
      </c>
      <c r="M1393" s="433">
        <f t="shared" si="115"/>
        <v>0</v>
      </c>
      <c r="N1393" s="672"/>
      <c r="O1393" s="729">
        <f>IF(N1393="",0,N1393*K1393/'9b-Vloeronderhoud'!$F$4)</f>
        <v>0</v>
      </c>
      <c r="P1393" s="672"/>
      <c r="Q1393" s="729" t="e">
        <f>IF(O1393="",0,P1393*L1393/'9b-Vloeronderhoud'!$F$6)</f>
        <v>#DIV/0!</v>
      </c>
      <c r="R1393" s="449">
        <v>1</v>
      </c>
      <c r="S1393" s="672">
        <v>80</v>
      </c>
      <c r="T1393" s="161" t="e">
        <f t="shared" si="111"/>
        <v>#DIV/0!</v>
      </c>
      <c r="U1393" s="162">
        <f>IF(S1393="nio",0,IF(S1393&gt;0,VLOOKUP(G1393,'3-Productie normen'!A:K,VLOOKUP(S1393,'3-Productie normen'!L:N,3,FALSE),FALSE)))</f>
        <v>0</v>
      </c>
      <c r="V1393" s="162">
        <f>VLOOKUP(G1393,'3-Productie normen'!A:K,10,FALSE)</f>
        <v>16013.110036668773</v>
      </c>
      <c r="W1393" s="163">
        <f>VLOOKUP(G1393,'3-Productie normen'!A:K,11,FALSE)</f>
        <v>0</v>
      </c>
      <c r="X1393" s="163"/>
      <c r="Z1393" s="129">
        <f t="shared" si="112"/>
        <v>3663.9999389648438</v>
      </c>
    </row>
    <row r="1394" spans="1:26" ht="14.1" customHeight="1">
      <c r="A1394" s="144">
        <v>1432</v>
      </c>
      <c r="B1394" s="525" t="s">
        <v>261</v>
      </c>
      <c r="C1394" s="160" t="s">
        <v>542</v>
      </c>
      <c r="D1394" s="493" t="s">
        <v>98</v>
      </c>
      <c r="E1394" s="712" t="s">
        <v>294</v>
      </c>
      <c r="F1394" s="492" t="s">
        <v>99</v>
      </c>
      <c r="G1394" s="460" t="s">
        <v>99</v>
      </c>
      <c r="H1394" s="303" t="s">
        <v>332</v>
      </c>
      <c r="I1394" s="582" t="str">
        <f>VLOOKUP(H1394,'9a-Typen vloeren'!$A$10:$B$40,2,FALSE)</f>
        <v>Sproei/extraheren</v>
      </c>
      <c r="J1394" s="586">
        <v>4.6500000953674316</v>
      </c>
      <c r="K1394" s="433">
        <f t="shared" si="113"/>
        <v>0</v>
      </c>
      <c r="L1394" s="433">
        <f t="shared" si="114"/>
        <v>0</v>
      </c>
      <c r="M1394" s="433">
        <f t="shared" si="115"/>
        <v>4.6500000953674316</v>
      </c>
      <c r="N1394" s="672"/>
      <c r="O1394" s="729">
        <f>IF(N1394="",0,N1394*K1394/'9b-Vloeronderhoud'!$F$4)</f>
        <v>0</v>
      </c>
      <c r="P1394" s="672"/>
      <c r="Q1394" s="729" t="e">
        <f>IF(O1394="",0,P1394*L1394/'9b-Vloeronderhoud'!$F$6)</f>
        <v>#DIV/0!</v>
      </c>
      <c r="R1394" s="449">
        <v>1</v>
      </c>
      <c r="S1394" s="672">
        <v>190</v>
      </c>
      <c r="T1394" s="161" t="e">
        <f t="shared" si="111"/>
        <v>#DIV/0!</v>
      </c>
      <c r="U1394" s="162">
        <f>IF(S1394="nio",0,IF(S1394&gt;0,VLOOKUP(G1394,'3-Productie normen'!A:K,VLOOKUP(S1394,'3-Productie normen'!L:N,3,FALSE),FALSE)))</f>
        <v>0</v>
      </c>
      <c r="V1394" s="162">
        <f>VLOOKUP(G1394,'3-Productie normen'!A:K,10,FALSE)</f>
        <v>726.97999910354622</v>
      </c>
      <c r="W1394" s="163">
        <f>VLOOKUP(G1394,'3-Productie normen'!A:K,11,FALSE)</f>
        <v>0</v>
      </c>
      <c r="X1394" s="163"/>
      <c r="Z1394" s="129">
        <f t="shared" si="112"/>
        <v>883.50001811981201</v>
      </c>
    </row>
    <row r="1395" spans="1:26" ht="14.1" customHeight="1">
      <c r="A1395" s="144">
        <v>1433</v>
      </c>
      <c r="B1395" s="525" t="s">
        <v>261</v>
      </c>
      <c r="C1395" s="160" t="s">
        <v>542</v>
      </c>
      <c r="D1395" s="493" t="s">
        <v>98</v>
      </c>
      <c r="E1395" s="712" t="s">
        <v>295</v>
      </c>
      <c r="F1395" s="492" t="s">
        <v>543</v>
      </c>
      <c r="G1395" s="460" t="s">
        <v>881</v>
      </c>
      <c r="H1395" s="492" t="s">
        <v>375</v>
      </c>
      <c r="I1395" s="582" t="str">
        <f>VLOOKUP(H1395,'9a-Typen vloeren'!$A$10:$B$40,2,FALSE)</f>
        <v>n.v.t.</v>
      </c>
      <c r="J1395" s="586">
        <v>0.80000001192092896</v>
      </c>
      <c r="K1395" s="433">
        <f t="shared" si="113"/>
        <v>0</v>
      </c>
      <c r="L1395" s="433">
        <f t="shared" si="114"/>
        <v>0</v>
      </c>
      <c r="M1395" s="433">
        <f t="shared" si="115"/>
        <v>0</v>
      </c>
      <c r="N1395" s="672"/>
      <c r="O1395" s="729">
        <f>IF(N1395="",0,N1395*K1395/'9b-Vloeronderhoud'!$F$4)</f>
        <v>0</v>
      </c>
      <c r="P1395" s="672"/>
      <c r="Q1395" s="729" t="e">
        <f>IF(O1395="",0,P1395*L1395/'9b-Vloeronderhoud'!$F$6)</f>
        <v>#DIV/0!</v>
      </c>
      <c r="R1395" s="449">
        <v>1</v>
      </c>
      <c r="S1395" s="672" t="s">
        <v>179</v>
      </c>
      <c r="T1395" s="161">
        <f t="shared" si="111"/>
        <v>0</v>
      </c>
      <c r="U1395" s="162">
        <f>IF(S1395="nio",0,IF(S1395&gt;0,VLOOKUP(G1395,'3-Productie normen'!A:K,VLOOKUP(S1395,'3-Productie normen'!L:N,3,FALSE),FALSE)))</f>
        <v>0</v>
      </c>
      <c r="V1395" s="162">
        <f>VLOOKUP(G1395,'3-Productie normen'!A:K,10,FALSE)</f>
        <v>5262.809993648526</v>
      </c>
      <c r="W1395" s="163">
        <f>VLOOKUP(G1395,'3-Productie normen'!A:K,11,FALSE)</f>
        <v>0</v>
      </c>
      <c r="X1395" s="163"/>
      <c r="Z1395" s="129">
        <f t="shared" si="112"/>
        <v>0</v>
      </c>
    </row>
    <row r="1396" spans="1:26" ht="14.1" customHeight="1">
      <c r="A1396" s="144">
        <v>1434</v>
      </c>
      <c r="B1396" s="525" t="s">
        <v>261</v>
      </c>
      <c r="C1396" s="160" t="s">
        <v>542</v>
      </c>
      <c r="D1396" s="493" t="s">
        <v>98</v>
      </c>
      <c r="E1396" s="712" t="s">
        <v>296</v>
      </c>
      <c r="F1396" s="492" t="s">
        <v>281</v>
      </c>
      <c r="G1396" s="460" t="s">
        <v>881</v>
      </c>
      <c r="H1396" s="492" t="s">
        <v>375</v>
      </c>
      <c r="I1396" s="582" t="str">
        <f>VLOOKUP(H1396,'9a-Typen vloeren'!$A$10:$B$40,2,FALSE)</f>
        <v>n.v.t.</v>
      </c>
      <c r="J1396" s="586">
        <v>0.80000001192092896</v>
      </c>
      <c r="K1396" s="433">
        <f t="shared" si="113"/>
        <v>0</v>
      </c>
      <c r="L1396" s="433">
        <f t="shared" si="114"/>
        <v>0</v>
      </c>
      <c r="M1396" s="433">
        <f t="shared" si="115"/>
        <v>0</v>
      </c>
      <c r="N1396" s="672"/>
      <c r="O1396" s="729">
        <f>IF(N1396="",0,N1396*K1396/'9b-Vloeronderhoud'!$F$4)</f>
        <v>0</v>
      </c>
      <c r="P1396" s="672"/>
      <c r="Q1396" s="729" t="e">
        <f>IF(O1396="",0,P1396*L1396/'9b-Vloeronderhoud'!$F$6)</f>
        <v>#DIV/0!</v>
      </c>
      <c r="R1396" s="449">
        <v>1</v>
      </c>
      <c r="S1396" s="672" t="s">
        <v>179</v>
      </c>
      <c r="T1396" s="161">
        <f t="shared" si="111"/>
        <v>0</v>
      </c>
      <c r="U1396" s="162">
        <f>IF(S1396="nio",0,IF(S1396&gt;0,VLOOKUP(G1396,'3-Productie normen'!A:K,VLOOKUP(S1396,'3-Productie normen'!L:N,3,FALSE),FALSE)))</f>
        <v>0</v>
      </c>
      <c r="V1396" s="162">
        <f>VLOOKUP(G1396,'3-Productie normen'!A:K,10,FALSE)</f>
        <v>5262.809993648526</v>
      </c>
      <c r="W1396" s="163">
        <f>VLOOKUP(G1396,'3-Productie normen'!A:K,11,FALSE)</f>
        <v>0</v>
      </c>
      <c r="X1396" s="163"/>
      <c r="Z1396" s="129">
        <f t="shared" si="112"/>
        <v>0</v>
      </c>
    </row>
    <row r="1397" spans="1:26" ht="14.1" customHeight="1">
      <c r="A1397" s="144">
        <v>1435</v>
      </c>
      <c r="B1397" s="525" t="s">
        <v>261</v>
      </c>
      <c r="C1397" s="160" t="s">
        <v>542</v>
      </c>
      <c r="D1397" s="493" t="s">
        <v>98</v>
      </c>
      <c r="E1397" s="712" t="s">
        <v>298</v>
      </c>
      <c r="F1397" s="492" t="s">
        <v>283</v>
      </c>
      <c r="G1397" s="122" t="s">
        <v>286</v>
      </c>
      <c r="H1397" s="492" t="s">
        <v>100</v>
      </c>
      <c r="I1397" s="582" t="str">
        <f>VLOOKUP(H1397,'9a-Typen vloeren'!$A$10:$B$40,2,FALSE)</f>
        <v>Sprayen/ conserveren</v>
      </c>
      <c r="J1397" s="586">
        <v>80.150001525878906</v>
      </c>
      <c r="K1397" s="433">
        <f t="shared" si="113"/>
        <v>80.150001525878906</v>
      </c>
      <c r="L1397" s="433">
        <f t="shared" si="114"/>
        <v>0</v>
      </c>
      <c r="M1397" s="433">
        <f t="shared" si="115"/>
        <v>0</v>
      </c>
      <c r="N1397" s="672">
        <v>2</v>
      </c>
      <c r="O1397" s="729" t="e">
        <f>IF(N1397="",0,N1397*K1397/'9b-Vloeronderhoud'!$F$4)</f>
        <v>#DIV/0!</v>
      </c>
      <c r="P1397" s="672"/>
      <c r="Q1397" s="729" t="e">
        <f>IF(O1397="",0,P1397*L1397/'9b-Vloeronderhoud'!$F$6)</f>
        <v>#DIV/0!</v>
      </c>
      <c r="R1397" s="449">
        <v>1</v>
      </c>
      <c r="S1397" s="672">
        <v>120</v>
      </c>
      <c r="T1397" s="161" t="e">
        <f t="shared" si="111"/>
        <v>#DIV/0!</v>
      </c>
      <c r="U1397" s="162">
        <f>IF(S1397="nio",0,IF(S1397&gt;0,VLOOKUP(G1397,'3-Productie normen'!A:K,VLOOKUP(S1397,'3-Productie normen'!L:N,3,FALSE),FALSE)))</f>
        <v>0</v>
      </c>
      <c r="V1397" s="162">
        <f>VLOOKUP(G1397,'3-Productie normen'!A:K,10,FALSE)</f>
        <v>6152.9500017547598</v>
      </c>
      <c r="W1397" s="163">
        <f>VLOOKUP(G1397,'3-Productie normen'!A:K,11,FALSE)</f>
        <v>0</v>
      </c>
      <c r="X1397" s="163"/>
      <c r="Z1397" s="129">
        <f t="shared" si="112"/>
        <v>9618.0001831054688</v>
      </c>
    </row>
    <row r="1398" spans="1:26" ht="14.1" customHeight="1">
      <c r="A1398" s="144">
        <v>1436</v>
      </c>
      <c r="B1398" s="525" t="s">
        <v>261</v>
      </c>
      <c r="C1398" s="160" t="s">
        <v>542</v>
      </c>
      <c r="D1398" s="493" t="s">
        <v>98</v>
      </c>
      <c r="E1398" s="712" t="s">
        <v>301</v>
      </c>
      <c r="F1398" s="492" t="s">
        <v>302</v>
      </c>
      <c r="G1398" s="122" t="s">
        <v>18</v>
      </c>
      <c r="H1398" s="303" t="s">
        <v>955</v>
      </c>
      <c r="I1398" s="582" t="str">
        <f>VLOOKUP(H1398,'9a-Typen vloeren'!$A$10:$B$40,2,FALSE)</f>
        <v>zie kwaliteitsontwerp</v>
      </c>
      <c r="J1398" s="586">
        <v>8.1499996185302734</v>
      </c>
      <c r="K1398" s="433">
        <f t="shared" si="113"/>
        <v>0</v>
      </c>
      <c r="L1398" s="433">
        <f t="shared" si="114"/>
        <v>0</v>
      </c>
      <c r="M1398" s="433">
        <f t="shared" si="115"/>
        <v>0</v>
      </c>
      <c r="N1398" s="672"/>
      <c r="O1398" s="729">
        <f>IF(N1398="",0,N1398*K1398/'9b-Vloeronderhoud'!$F$4)</f>
        <v>0</v>
      </c>
      <c r="P1398" s="672"/>
      <c r="Q1398" s="729" t="e">
        <f>IF(O1398="",0,P1398*L1398/'9b-Vloeronderhoud'!$F$6)</f>
        <v>#DIV/0!</v>
      </c>
      <c r="R1398" s="449">
        <v>1</v>
      </c>
      <c r="S1398" s="672">
        <v>190</v>
      </c>
      <c r="T1398" s="161" t="e">
        <f t="shared" si="111"/>
        <v>#DIV/0!</v>
      </c>
      <c r="U1398" s="162">
        <f>IF(S1398="nio",0,IF(S1398&gt;0,VLOOKUP(G1398,'3-Productie normen'!A:K,VLOOKUP(S1398,'3-Productie normen'!L:N,3,FALSE),FALSE)))</f>
        <v>0</v>
      </c>
      <c r="V1398" s="162">
        <f>VLOOKUP(G1398,'3-Productie normen'!A:K,10,FALSE)</f>
        <v>1859.5880019121171</v>
      </c>
      <c r="W1398" s="163">
        <f>VLOOKUP(G1398,'3-Productie normen'!A:K,11,FALSE)</f>
        <v>0</v>
      </c>
      <c r="X1398" s="163"/>
      <c r="Z1398" s="129">
        <f t="shared" si="112"/>
        <v>1548.499927520752</v>
      </c>
    </row>
    <row r="1399" spans="1:26" ht="14.1" customHeight="1">
      <c r="A1399" s="144">
        <v>1437</v>
      </c>
      <c r="B1399" s="525" t="s">
        <v>261</v>
      </c>
      <c r="C1399" s="160" t="s">
        <v>542</v>
      </c>
      <c r="D1399" s="493" t="s">
        <v>98</v>
      </c>
      <c r="E1399" s="712" t="s">
        <v>303</v>
      </c>
      <c r="F1399" s="492" t="s">
        <v>302</v>
      </c>
      <c r="G1399" s="122" t="s">
        <v>18</v>
      </c>
      <c r="H1399" s="303" t="s">
        <v>955</v>
      </c>
      <c r="I1399" s="582" t="str">
        <f>VLOOKUP(H1399,'9a-Typen vloeren'!$A$10:$B$40,2,FALSE)</f>
        <v>zie kwaliteitsontwerp</v>
      </c>
      <c r="J1399" s="586">
        <v>8.1499996185302734</v>
      </c>
      <c r="K1399" s="433">
        <f t="shared" si="113"/>
        <v>0</v>
      </c>
      <c r="L1399" s="433">
        <f t="shared" si="114"/>
        <v>0</v>
      </c>
      <c r="M1399" s="433">
        <f t="shared" si="115"/>
        <v>0</v>
      </c>
      <c r="N1399" s="672"/>
      <c r="O1399" s="729">
        <f>IF(N1399="",0,N1399*K1399/'9b-Vloeronderhoud'!$F$4)</f>
        <v>0</v>
      </c>
      <c r="P1399" s="672"/>
      <c r="Q1399" s="729" t="e">
        <f>IF(O1399="",0,P1399*L1399/'9b-Vloeronderhoud'!$F$6)</f>
        <v>#DIV/0!</v>
      </c>
      <c r="R1399" s="449">
        <v>1</v>
      </c>
      <c r="S1399" s="672">
        <v>190</v>
      </c>
      <c r="T1399" s="161" t="e">
        <f t="shared" si="111"/>
        <v>#DIV/0!</v>
      </c>
      <c r="U1399" s="162">
        <f>IF(S1399="nio",0,IF(S1399&gt;0,VLOOKUP(G1399,'3-Productie normen'!A:K,VLOOKUP(S1399,'3-Productie normen'!L:N,3,FALSE),FALSE)))</f>
        <v>0</v>
      </c>
      <c r="V1399" s="162">
        <f>VLOOKUP(G1399,'3-Productie normen'!A:K,10,FALSE)</f>
        <v>1859.5880019121171</v>
      </c>
      <c r="W1399" s="163">
        <f>VLOOKUP(G1399,'3-Productie normen'!A:K,11,FALSE)</f>
        <v>0</v>
      </c>
      <c r="X1399" s="163"/>
      <c r="Z1399" s="129">
        <f t="shared" si="112"/>
        <v>1548.499927520752</v>
      </c>
    </row>
    <row r="1400" spans="1:26" ht="14.1" customHeight="1">
      <c r="A1400" s="144">
        <v>1438</v>
      </c>
      <c r="B1400" s="525" t="s">
        <v>261</v>
      </c>
      <c r="C1400" s="160" t="s">
        <v>542</v>
      </c>
      <c r="D1400" s="493" t="s">
        <v>98</v>
      </c>
      <c r="E1400" s="712" t="s">
        <v>305</v>
      </c>
      <c r="F1400" s="492" t="s">
        <v>313</v>
      </c>
      <c r="G1400" s="460" t="s">
        <v>881</v>
      </c>
      <c r="H1400" s="492" t="s">
        <v>100</v>
      </c>
      <c r="I1400" s="582" t="str">
        <f>VLOOKUP(H1400,'9a-Typen vloeren'!$A$10:$B$40,2,FALSE)</f>
        <v>Sprayen/ conserveren</v>
      </c>
      <c r="J1400" s="586">
        <v>5.75</v>
      </c>
      <c r="K1400" s="433">
        <f t="shared" si="113"/>
        <v>0</v>
      </c>
      <c r="L1400" s="433">
        <f t="shared" si="114"/>
        <v>0</v>
      </c>
      <c r="M1400" s="433">
        <f t="shared" si="115"/>
        <v>0</v>
      </c>
      <c r="N1400" s="672"/>
      <c r="O1400" s="729">
        <f>IF(N1400="",0,N1400*K1400/'9b-Vloeronderhoud'!$F$4)</f>
        <v>0</v>
      </c>
      <c r="P1400" s="672"/>
      <c r="Q1400" s="729" t="e">
        <f>IF(O1400="",0,P1400*L1400/'9b-Vloeronderhoud'!$F$6)</f>
        <v>#DIV/0!</v>
      </c>
      <c r="R1400" s="449">
        <v>1</v>
      </c>
      <c r="S1400" s="672" t="s">
        <v>179</v>
      </c>
      <c r="T1400" s="161">
        <f t="shared" si="111"/>
        <v>0</v>
      </c>
      <c r="U1400" s="162">
        <f>IF(S1400="nio",0,IF(S1400&gt;0,VLOOKUP(G1400,'3-Productie normen'!A:K,VLOOKUP(S1400,'3-Productie normen'!L:N,3,FALSE),FALSE)))</f>
        <v>0</v>
      </c>
      <c r="V1400" s="162">
        <f>VLOOKUP(G1400,'3-Productie normen'!A:K,10,FALSE)</f>
        <v>5262.809993648526</v>
      </c>
      <c r="W1400" s="163">
        <f>VLOOKUP(G1400,'3-Productie normen'!A:K,11,FALSE)</f>
        <v>0</v>
      </c>
      <c r="X1400" s="163"/>
      <c r="Z1400" s="129">
        <f t="shared" si="112"/>
        <v>0</v>
      </c>
    </row>
    <row r="1401" spans="1:26" ht="14.1" customHeight="1">
      <c r="A1401" s="144">
        <v>1439</v>
      </c>
      <c r="B1401" s="525" t="s">
        <v>261</v>
      </c>
      <c r="C1401" s="160" t="s">
        <v>542</v>
      </c>
      <c r="D1401" s="493" t="s">
        <v>98</v>
      </c>
      <c r="E1401" s="712" t="s">
        <v>306</v>
      </c>
      <c r="F1401" s="492" t="s">
        <v>400</v>
      </c>
      <c r="G1401" s="122" t="s">
        <v>189</v>
      </c>
      <c r="H1401" s="303" t="s">
        <v>332</v>
      </c>
      <c r="I1401" s="582" t="str">
        <f>VLOOKUP(H1401,'9a-Typen vloeren'!$A$10:$B$40,2,FALSE)</f>
        <v>Sproei/extraheren</v>
      </c>
      <c r="J1401" s="586">
        <v>21.149999618530273</v>
      </c>
      <c r="K1401" s="433">
        <f t="shared" si="113"/>
        <v>0</v>
      </c>
      <c r="L1401" s="433">
        <f t="shared" si="114"/>
        <v>0</v>
      </c>
      <c r="M1401" s="433">
        <f t="shared" si="115"/>
        <v>21.149999618530273</v>
      </c>
      <c r="N1401" s="672"/>
      <c r="O1401" s="729">
        <f>IF(N1401="",0,N1401*K1401/'9b-Vloeronderhoud'!$F$4)</f>
        <v>0</v>
      </c>
      <c r="P1401" s="672"/>
      <c r="Q1401" s="729" t="e">
        <f>IF(O1401="",0,P1401*L1401/'9b-Vloeronderhoud'!$F$6)</f>
        <v>#DIV/0!</v>
      </c>
      <c r="R1401" s="449">
        <v>1</v>
      </c>
      <c r="S1401" s="675">
        <v>40</v>
      </c>
      <c r="T1401" s="161" t="e">
        <f t="shared" si="111"/>
        <v>#DIV/0!</v>
      </c>
      <c r="U1401" s="162">
        <f>IF(S1401="nio",0,IF(S1401&gt;0,VLOOKUP(G1401,'3-Productie normen'!A:K,VLOOKUP(S1401,'3-Productie normen'!L:N,3,FALSE),FALSE)))</f>
        <v>0</v>
      </c>
      <c r="V1401" s="162">
        <f>VLOOKUP(G1401,'3-Productie normen'!A:K,10,FALSE)</f>
        <v>1494.1700078582762</v>
      </c>
      <c r="W1401" s="163">
        <f>VLOOKUP(G1401,'3-Productie normen'!A:K,11,FALSE)</f>
        <v>0</v>
      </c>
      <c r="X1401" s="163"/>
      <c r="Z1401" s="129">
        <f t="shared" si="112"/>
        <v>845.99998474121094</v>
      </c>
    </row>
    <row r="1402" spans="1:26" ht="14.1" customHeight="1">
      <c r="A1402" s="144">
        <v>1440</v>
      </c>
      <c r="B1402" s="525" t="s">
        <v>261</v>
      </c>
      <c r="C1402" s="160" t="s">
        <v>542</v>
      </c>
      <c r="D1402" s="493" t="s">
        <v>98</v>
      </c>
      <c r="E1402" s="712" t="s">
        <v>307</v>
      </c>
      <c r="F1402" s="492" t="s">
        <v>302</v>
      </c>
      <c r="G1402" s="492" t="s">
        <v>18</v>
      </c>
      <c r="H1402" s="303" t="s">
        <v>955</v>
      </c>
      <c r="I1402" s="582" t="str">
        <f>VLOOKUP(H1402,'9a-Typen vloeren'!$A$10:$B$40,2,FALSE)</f>
        <v>zie kwaliteitsontwerp</v>
      </c>
      <c r="J1402" s="586">
        <v>3.25</v>
      </c>
      <c r="K1402" s="433">
        <f t="shared" si="113"/>
        <v>0</v>
      </c>
      <c r="L1402" s="433">
        <f t="shared" si="114"/>
        <v>0</v>
      </c>
      <c r="M1402" s="433">
        <f t="shared" si="115"/>
        <v>0</v>
      </c>
      <c r="N1402" s="672"/>
      <c r="O1402" s="729">
        <f>IF(N1402="",0,N1402*K1402/'9b-Vloeronderhoud'!$F$4)</f>
        <v>0</v>
      </c>
      <c r="P1402" s="672"/>
      <c r="Q1402" s="729" t="e">
        <f>IF(O1402="",0,P1402*L1402/'9b-Vloeronderhoud'!$F$6)</f>
        <v>#DIV/0!</v>
      </c>
      <c r="R1402" s="449">
        <v>1</v>
      </c>
      <c r="S1402" s="672">
        <v>190</v>
      </c>
      <c r="T1402" s="161" t="e">
        <f t="shared" si="111"/>
        <v>#DIV/0!</v>
      </c>
      <c r="U1402" s="162">
        <f>IF(S1402="nio",0,IF(S1402&gt;0,VLOOKUP(G1402,'3-Productie normen'!A:K,VLOOKUP(S1402,'3-Productie normen'!L:N,3,FALSE),FALSE)))</f>
        <v>0</v>
      </c>
      <c r="V1402" s="162">
        <f>VLOOKUP(G1402,'3-Productie normen'!A:K,10,FALSE)</f>
        <v>1859.5880019121171</v>
      </c>
      <c r="W1402" s="163">
        <f>VLOOKUP(G1402,'3-Productie normen'!A:K,11,FALSE)</f>
        <v>0</v>
      </c>
      <c r="X1402" s="163"/>
      <c r="Z1402" s="129">
        <f t="shared" si="112"/>
        <v>617.5</v>
      </c>
    </row>
    <row r="1403" spans="1:26" ht="14.1" customHeight="1">
      <c r="A1403" s="144">
        <v>1441</v>
      </c>
      <c r="B1403" s="525" t="s">
        <v>261</v>
      </c>
      <c r="C1403" s="160" t="s">
        <v>542</v>
      </c>
      <c r="D1403" s="493" t="s">
        <v>98</v>
      </c>
      <c r="E1403" s="712" t="s">
        <v>309</v>
      </c>
      <c r="F1403" s="492" t="s">
        <v>302</v>
      </c>
      <c r="G1403" s="122" t="s">
        <v>18</v>
      </c>
      <c r="H1403" s="303" t="s">
        <v>955</v>
      </c>
      <c r="I1403" s="582" t="str">
        <f>VLOOKUP(H1403,'9a-Typen vloeren'!$A$10:$B$40,2,FALSE)</f>
        <v>zie kwaliteitsontwerp</v>
      </c>
      <c r="J1403" s="586">
        <v>3.25</v>
      </c>
      <c r="K1403" s="433">
        <f t="shared" si="113"/>
        <v>0</v>
      </c>
      <c r="L1403" s="433">
        <f t="shared" si="114"/>
        <v>0</v>
      </c>
      <c r="M1403" s="433">
        <f t="shared" si="115"/>
        <v>0</v>
      </c>
      <c r="N1403" s="672"/>
      <c r="O1403" s="729">
        <f>IF(N1403="",0,N1403*K1403/'9b-Vloeronderhoud'!$F$4)</f>
        <v>0</v>
      </c>
      <c r="P1403" s="672"/>
      <c r="Q1403" s="729" t="e">
        <f>IF(O1403="",0,P1403*L1403/'9b-Vloeronderhoud'!$F$6)</f>
        <v>#DIV/0!</v>
      </c>
      <c r="R1403" s="449">
        <v>1</v>
      </c>
      <c r="S1403" s="672">
        <v>190</v>
      </c>
      <c r="T1403" s="161" t="e">
        <f t="shared" si="111"/>
        <v>#DIV/0!</v>
      </c>
      <c r="U1403" s="162">
        <f>IF(S1403="nio",0,IF(S1403&gt;0,VLOOKUP(G1403,'3-Productie normen'!A:K,VLOOKUP(S1403,'3-Productie normen'!L:N,3,FALSE),FALSE)))</f>
        <v>0</v>
      </c>
      <c r="V1403" s="162">
        <f>VLOOKUP(G1403,'3-Productie normen'!A:K,10,FALSE)</f>
        <v>1859.5880019121171</v>
      </c>
      <c r="W1403" s="163">
        <f>VLOOKUP(G1403,'3-Productie normen'!A:K,11,FALSE)</f>
        <v>0</v>
      </c>
      <c r="X1403" s="163"/>
      <c r="Z1403" s="129">
        <f t="shared" si="112"/>
        <v>617.5</v>
      </c>
    </row>
    <row r="1404" spans="1:26" ht="14.1" customHeight="1">
      <c r="A1404" s="144">
        <v>1442</v>
      </c>
      <c r="B1404" s="525" t="s">
        <v>261</v>
      </c>
      <c r="C1404" s="160" t="s">
        <v>542</v>
      </c>
      <c r="D1404" s="493" t="s">
        <v>98</v>
      </c>
      <c r="E1404" s="712" t="s">
        <v>311</v>
      </c>
      <c r="F1404" s="492" t="s">
        <v>99</v>
      </c>
      <c r="G1404" s="460" t="s">
        <v>99</v>
      </c>
      <c r="H1404" s="303" t="s">
        <v>332</v>
      </c>
      <c r="I1404" s="582" t="str">
        <f>VLOOKUP(H1404,'9a-Typen vloeren'!$A$10:$B$40,2,FALSE)</f>
        <v>Sproei/extraheren</v>
      </c>
      <c r="J1404" s="586">
        <v>3.75</v>
      </c>
      <c r="K1404" s="433">
        <f t="shared" si="113"/>
        <v>0</v>
      </c>
      <c r="L1404" s="433">
        <f t="shared" si="114"/>
        <v>0</v>
      </c>
      <c r="M1404" s="433">
        <f t="shared" si="115"/>
        <v>3.75</v>
      </c>
      <c r="N1404" s="672"/>
      <c r="O1404" s="729">
        <f>IF(N1404="",0,N1404*K1404/'9b-Vloeronderhoud'!$F$4)</f>
        <v>0</v>
      </c>
      <c r="P1404" s="672"/>
      <c r="Q1404" s="729" t="e">
        <f>IF(O1404="",0,P1404*L1404/'9b-Vloeronderhoud'!$F$6)</f>
        <v>#DIV/0!</v>
      </c>
      <c r="R1404" s="449">
        <v>1</v>
      </c>
      <c r="S1404" s="672">
        <v>190</v>
      </c>
      <c r="T1404" s="161" t="e">
        <f t="shared" si="111"/>
        <v>#DIV/0!</v>
      </c>
      <c r="U1404" s="162">
        <f>IF(S1404="nio",0,IF(S1404&gt;0,VLOOKUP(G1404,'3-Productie normen'!A:K,VLOOKUP(S1404,'3-Productie normen'!L:N,3,FALSE),FALSE)))</f>
        <v>0</v>
      </c>
      <c r="V1404" s="162">
        <f>VLOOKUP(G1404,'3-Productie normen'!A:K,10,FALSE)</f>
        <v>726.97999910354622</v>
      </c>
      <c r="W1404" s="163">
        <f>VLOOKUP(G1404,'3-Productie normen'!A:K,11,FALSE)</f>
        <v>0</v>
      </c>
      <c r="X1404" s="163"/>
      <c r="Z1404" s="129">
        <f t="shared" si="112"/>
        <v>712.5</v>
      </c>
    </row>
    <row r="1405" spans="1:26" ht="14.1" customHeight="1">
      <c r="A1405" s="144">
        <v>1443</v>
      </c>
      <c r="B1405" s="525" t="s">
        <v>261</v>
      </c>
      <c r="C1405" s="160" t="s">
        <v>542</v>
      </c>
      <c r="D1405" s="493" t="s">
        <v>98</v>
      </c>
      <c r="E1405" s="712" t="s">
        <v>312</v>
      </c>
      <c r="F1405" s="492" t="s">
        <v>221</v>
      </c>
      <c r="G1405" s="303" t="s">
        <v>221</v>
      </c>
      <c r="H1405" s="492" t="s">
        <v>100</v>
      </c>
      <c r="I1405" s="582" t="str">
        <f>VLOOKUP(H1405,'9a-Typen vloeren'!$A$10:$B$40,2,FALSE)</f>
        <v>Sprayen/ conserveren</v>
      </c>
      <c r="J1405" s="586">
        <v>52.900001525878906</v>
      </c>
      <c r="K1405" s="433">
        <f t="shared" si="113"/>
        <v>52.900001525878906</v>
      </c>
      <c r="L1405" s="433">
        <f t="shared" si="114"/>
        <v>0</v>
      </c>
      <c r="M1405" s="433">
        <f t="shared" si="115"/>
        <v>0</v>
      </c>
      <c r="N1405" s="672"/>
      <c r="O1405" s="729">
        <f>IF(N1405="",0,N1405*K1405/'9b-Vloeronderhoud'!$F$4)</f>
        <v>0</v>
      </c>
      <c r="P1405" s="672"/>
      <c r="Q1405" s="729" t="e">
        <f>IF(O1405="",0,P1405*L1405/'9b-Vloeronderhoud'!$F$6)</f>
        <v>#DIV/0!</v>
      </c>
      <c r="R1405" s="449">
        <v>1</v>
      </c>
      <c r="S1405" s="672">
        <v>80</v>
      </c>
      <c r="T1405" s="161" t="e">
        <f t="shared" si="111"/>
        <v>#DIV/0!</v>
      </c>
      <c r="U1405" s="162">
        <f>IF(S1405="nio",0,IF(S1405&gt;0,VLOOKUP(G1405,'3-Productie normen'!A:K,VLOOKUP(S1405,'3-Productie normen'!L:N,3,FALSE),FALSE)))</f>
        <v>0</v>
      </c>
      <c r="V1405" s="162">
        <f>VLOOKUP(G1405,'3-Productie normen'!A:K,10,FALSE)</f>
        <v>16013.110036668773</v>
      </c>
      <c r="W1405" s="163">
        <f>VLOOKUP(G1405,'3-Productie normen'!A:K,11,FALSE)</f>
        <v>0</v>
      </c>
      <c r="X1405" s="163"/>
      <c r="Z1405" s="129">
        <f t="shared" si="112"/>
        <v>4232.0001220703125</v>
      </c>
    </row>
    <row r="1406" spans="1:26" ht="14.1" customHeight="1">
      <c r="A1406" s="144">
        <v>1444</v>
      </c>
      <c r="B1406" s="525" t="s">
        <v>261</v>
      </c>
      <c r="C1406" s="160" t="s">
        <v>542</v>
      </c>
      <c r="D1406" s="493" t="s">
        <v>98</v>
      </c>
      <c r="E1406" s="712" t="s">
        <v>314</v>
      </c>
      <c r="F1406" s="492" t="s">
        <v>221</v>
      </c>
      <c r="G1406" s="122" t="s">
        <v>221</v>
      </c>
      <c r="H1406" s="492" t="s">
        <v>100</v>
      </c>
      <c r="I1406" s="582" t="str">
        <f>VLOOKUP(H1406,'9a-Typen vloeren'!$A$10:$B$40,2,FALSE)</f>
        <v>Sprayen/ conserveren</v>
      </c>
      <c r="J1406" s="586">
        <v>52.900001525878906</v>
      </c>
      <c r="K1406" s="433">
        <f t="shared" si="113"/>
        <v>52.900001525878906</v>
      </c>
      <c r="L1406" s="433">
        <f t="shared" si="114"/>
        <v>0</v>
      </c>
      <c r="M1406" s="433">
        <f t="shared" si="115"/>
        <v>0</v>
      </c>
      <c r="N1406" s="672"/>
      <c r="O1406" s="729">
        <f>IF(N1406="",0,N1406*K1406/'9b-Vloeronderhoud'!$F$4)</f>
        <v>0</v>
      </c>
      <c r="P1406" s="672"/>
      <c r="Q1406" s="729" t="e">
        <f>IF(O1406="",0,P1406*L1406/'9b-Vloeronderhoud'!$F$6)</f>
        <v>#DIV/0!</v>
      </c>
      <c r="R1406" s="449">
        <v>1</v>
      </c>
      <c r="S1406" s="672">
        <v>80</v>
      </c>
      <c r="T1406" s="161" t="e">
        <f t="shared" si="111"/>
        <v>#DIV/0!</v>
      </c>
      <c r="U1406" s="162">
        <f>IF(S1406="nio",0,IF(S1406&gt;0,VLOOKUP(G1406,'3-Productie normen'!A:K,VLOOKUP(S1406,'3-Productie normen'!L:N,3,FALSE),FALSE)))</f>
        <v>0</v>
      </c>
      <c r="V1406" s="162">
        <f>VLOOKUP(G1406,'3-Productie normen'!A:K,10,FALSE)</f>
        <v>16013.110036668773</v>
      </c>
      <c r="W1406" s="163">
        <f>VLOOKUP(G1406,'3-Productie normen'!A:K,11,FALSE)</f>
        <v>0</v>
      </c>
      <c r="X1406" s="163"/>
      <c r="Z1406" s="129">
        <f t="shared" si="112"/>
        <v>4232.0001220703125</v>
      </c>
    </row>
    <row r="1407" spans="1:26" ht="14.1" customHeight="1">
      <c r="A1407" s="144">
        <v>1445</v>
      </c>
      <c r="B1407" s="525" t="s">
        <v>261</v>
      </c>
      <c r="C1407" s="160" t="s">
        <v>542</v>
      </c>
      <c r="D1407" s="493" t="s">
        <v>98</v>
      </c>
      <c r="E1407" s="712" t="s">
        <v>315</v>
      </c>
      <c r="F1407" s="492" t="s">
        <v>221</v>
      </c>
      <c r="G1407" s="122" t="s">
        <v>221</v>
      </c>
      <c r="H1407" s="492" t="s">
        <v>100</v>
      </c>
      <c r="I1407" s="582" t="str">
        <f>VLOOKUP(H1407,'9a-Typen vloeren'!$A$10:$B$40,2,FALSE)</f>
        <v>Sprayen/ conserveren</v>
      </c>
      <c r="J1407" s="586">
        <v>52.900001525878906</v>
      </c>
      <c r="K1407" s="433">
        <f t="shared" si="113"/>
        <v>52.900001525878906</v>
      </c>
      <c r="L1407" s="433">
        <f t="shared" si="114"/>
        <v>0</v>
      </c>
      <c r="M1407" s="433">
        <f t="shared" si="115"/>
        <v>0</v>
      </c>
      <c r="N1407" s="672"/>
      <c r="O1407" s="729">
        <f>IF(N1407="",0,N1407*K1407/'9b-Vloeronderhoud'!$F$4)</f>
        <v>0</v>
      </c>
      <c r="P1407" s="672"/>
      <c r="Q1407" s="729" t="e">
        <f>IF(O1407="",0,P1407*L1407/'9b-Vloeronderhoud'!$F$6)</f>
        <v>#DIV/0!</v>
      </c>
      <c r="R1407" s="449">
        <v>1</v>
      </c>
      <c r="S1407" s="672">
        <v>80</v>
      </c>
      <c r="T1407" s="161" t="e">
        <f t="shared" si="111"/>
        <v>#DIV/0!</v>
      </c>
      <c r="U1407" s="162">
        <f>IF(S1407="nio",0,IF(S1407&gt;0,VLOOKUP(G1407,'3-Productie normen'!A:K,VLOOKUP(S1407,'3-Productie normen'!L:N,3,FALSE),FALSE)))</f>
        <v>0</v>
      </c>
      <c r="V1407" s="162">
        <f>VLOOKUP(G1407,'3-Productie normen'!A:K,10,FALSE)</f>
        <v>16013.110036668773</v>
      </c>
      <c r="W1407" s="163">
        <f>VLOOKUP(G1407,'3-Productie normen'!A:K,11,FALSE)</f>
        <v>0</v>
      </c>
      <c r="X1407" s="163"/>
      <c r="Z1407" s="129">
        <f t="shared" si="112"/>
        <v>4232.0001220703125</v>
      </c>
    </row>
    <row r="1408" spans="1:26" ht="14.1" customHeight="1">
      <c r="A1408" s="144">
        <v>1446</v>
      </c>
      <c r="B1408" s="525" t="s">
        <v>261</v>
      </c>
      <c r="C1408" s="160" t="s">
        <v>542</v>
      </c>
      <c r="D1408" s="493" t="s">
        <v>98</v>
      </c>
      <c r="E1408" s="712" t="s">
        <v>317</v>
      </c>
      <c r="F1408" s="492" t="s">
        <v>221</v>
      </c>
      <c r="G1408" s="460" t="s">
        <v>221</v>
      </c>
      <c r="H1408" s="492" t="s">
        <v>100</v>
      </c>
      <c r="I1408" s="582" t="str">
        <f>VLOOKUP(H1408,'9a-Typen vloeren'!$A$10:$B$40,2,FALSE)</f>
        <v>Sprayen/ conserveren</v>
      </c>
      <c r="J1408" s="586">
        <v>52.900001525878906</v>
      </c>
      <c r="K1408" s="433">
        <f t="shared" si="113"/>
        <v>52.900001525878906</v>
      </c>
      <c r="L1408" s="433">
        <f t="shared" si="114"/>
        <v>0</v>
      </c>
      <c r="M1408" s="433">
        <f t="shared" si="115"/>
        <v>0</v>
      </c>
      <c r="N1408" s="672"/>
      <c r="O1408" s="729">
        <f>IF(N1408="",0,N1408*K1408/'9b-Vloeronderhoud'!$F$4)</f>
        <v>0</v>
      </c>
      <c r="P1408" s="672"/>
      <c r="Q1408" s="729" t="e">
        <f>IF(O1408="",0,P1408*L1408/'9b-Vloeronderhoud'!$F$6)</f>
        <v>#DIV/0!</v>
      </c>
      <c r="R1408" s="449">
        <v>1</v>
      </c>
      <c r="S1408" s="672">
        <v>80</v>
      </c>
      <c r="T1408" s="161" t="e">
        <f t="shared" si="111"/>
        <v>#DIV/0!</v>
      </c>
      <c r="U1408" s="162">
        <f>IF(S1408="nio",0,IF(S1408&gt;0,VLOOKUP(G1408,'3-Productie normen'!A:K,VLOOKUP(S1408,'3-Productie normen'!L:N,3,FALSE),FALSE)))</f>
        <v>0</v>
      </c>
      <c r="V1408" s="162">
        <f>VLOOKUP(G1408,'3-Productie normen'!A:K,10,FALSE)</f>
        <v>16013.110036668773</v>
      </c>
      <c r="W1408" s="163">
        <f>VLOOKUP(G1408,'3-Productie normen'!A:K,11,FALSE)</f>
        <v>0</v>
      </c>
      <c r="X1408" s="163"/>
      <c r="Z1408" s="129">
        <f t="shared" si="112"/>
        <v>4232.0001220703125</v>
      </c>
    </row>
    <row r="1409" spans="1:26" ht="14.1" customHeight="1">
      <c r="A1409" s="144">
        <v>1447</v>
      </c>
      <c r="B1409" s="525" t="s">
        <v>261</v>
      </c>
      <c r="C1409" s="160" t="s">
        <v>542</v>
      </c>
      <c r="D1409" s="493" t="s">
        <v>98</v>
      </c>
      <c r="E1409" s="712" t="s">
        <v>318</v>
      </c>
      <c r="F1409" s="492" t="s">
        <v>221</v>
      </c>
      <c r="G1409" s="492" t="s">
        <v>221</v>
      </c>
      <c r="H1409" s="492" t="s">
        <v>100</v>
      </c>
      <c r="I1409" s="582" t="str">
        <f>VLOOKUP(H1409,'9a-Typen vloeren'!$A$10:$B$40,2,FALSE)</f>
        <v>Sprayen/ conserveren</v>
      </c>
      <c r="J1409" s="586">
        <v>52.900001525878906</v>
      </c>
      <c r="K1409" s="433">
        <f t="shared" si="113"/>
        <v>52.900001525878906</v>
      </c>
      <c r="L1409" s="433">
        <f t="shared" si="114"/>
        <v>0</v>
      </c>
      <c r="M1409" s="433">
        <f t="shared" si="115"/>
        <v>0</v>
      </c>
      <c r="N1409" s="672"/>
      <c r="O1409" s="729">
        <f>IF(N1409="",0,N1409*K1409/'9b-Vloeronderhoud'!$F$4)</f>
        <v>0</v>
      </c>
      <c r="P1409" s="672"/>
      <c r="Q1409" s="729" t="e">
        <f>IF(O1409="",0,P1409*L1409/'9b-Vloeronderhoud'!$F$6)</f>
        <v>#DIV/0!</v>
      </c>
      <c r="R1409" s="449">
        <v>1</v>
      </c>
      <c r="S1409" s="672">
        <v>80</v>
      </c>
      <c r="T1409" s="161" t="e">
        <f t="shared" si="111"/>
        <v>#DIV/0!</v>
      </c>
      <c r="U1409" s="162">
        <f>IF(S1409="nio",0,IF(S1409&gt;0,VLOOKUP(G1409,'3-Productie normen'!A:K,VLOOKUP(S1409,'3-Productie normen'!L:N,3,FALSE),FALSE)))</f>
        <v>0</v>
      </c>
      <c r="V1409" s="162">
        <f>VLOOKUP(G1409,'3-Productie normen'!A:K,10,FALSE)</f>
        <v>16013.110036668773</v>
      </c>
      <c r="W1409" s="163">
        <f>VLOOKUP(G1409,'3-Productie normen'!A:K,11,FALSE)</f>
        <v>0</v>
      </c>
      <c r="X1409" s="163"/>
      <c r="Z1409" s="129">
        <f t="shared" si="112"/>
        <v>4232.0001220703125</v>
      </c>
    </row>
    <row r="1410" spans="1:26" ht="14.1" customHeight="1">
      <c r="A1410" s="144">
        <v>1448</v>
      </c>
      <c r="B1410" s="525" t="s">
        <v>261</v>
      </c>
      <c r="C1410" s="160" t="s">
        <v>542</v>
      </c>
      <c r="D1410" s="493" t="s">
        <v>98</v>
      </c>
      <c r="E1410" s="712" t="s">
        <v>319</v>
      </c>
      <c r="F1410" s="492" t="s">
        <v>288</v>
      </c>
      <c r="G1410" s="546" t="s">
        <v>862</v>
      </c>
      <c r="H1410" s="492" t="s">
        <v>100</v>
      </c>
      <c r="I1410" s="582" t="str">
        <f>VLOOKUP(H1410,'9a-Typen vloeren'!$A$10:$B$40,2,FALSE)</f>
        <v>Sprayen/ conserveren</v>
      </c>
      <c r="J1410" s="586">
        <v>102.30000305175781</v>
      </c>
      <c r="K1410" s="433">
        <f t="shared" si="113"/>
        <v>102.30000305175781</v>
      </c>
      <c r="L1410" s="433">
        <f t="shared" si="114"/>
        <v>0</v>
      </c>
      <c r="M1410" s="433">
        <f t="shared" si="115"/>
        <v>0</v>
      </c>
      <c r="N1410" s="672">
        <v>2</v>
      </c>
      <c r="O1410" s="729" t="e">
        <f>IF(N1410="",0,N1410*K1410/'9b-Vloeronderhoud'!$F$4)</f>
        <v>#DIV/0!</v>
      </c>
      <c r="P1410" s="672"/>
      <c r="Q1410" s="729" t="e">
        <f>IF(O1410="",0,P1410*L1410/'9b-Vloeronderhoud'!$F$6)</f>
        <v>#DIV/0!</v>
      </c>
      <c r="R1410" s="449">
        <v>1</v>
      </c>
      <c r="S1410" s="672">
        <v>120</v>
      </c>
      <c r="T1410" s="161" t="e">
        <f t="shared" si="111"/>
        <v>#DIV/0!</v>
      </c>
      <c r="U1410" s="162">
        <f>IF(S1410="nio",0,IF(S1410&gt;0,VLOOKUP(G1410,'3-Productie normen'!A:K,VLOOKUP(S1410,'3-Productie normen'!L:N,3,FALSE),FALSE)))</f>
        <v>0</v>
      </c>
      <c r="V1410" s="162">
        <f>VLOOKUP(G1410,'3-Productie normen'!A:K,10,FALSE)</f>
        <v>4374.9900215911857</v>
      </c>
      <c r="W1410" s="163">
        <f>VLOOKUP(G1410,'3-Productie normen'!A:K,11,FALSE)</f>
        <v>0</v>
      </c>
      <c r="X1410" s="163"/>
      <c r="Z1410" s="129">
        <f t="shared" si="112"/>
        <v>12276.000366210938</v>
      </c>
    </row>
    <row r="1411" spans="1:26" ht="14.1" customHeight="1">
      <c r="A1411" s="144">
        <v>1449</v>
      </c>
      <c r="B1411" s="525" t="s">
        <v>261</v>
      </c>
      <c r="C1411" s="160" t="s">
        <v>542</v>
      </c>
      <c r="D1411" s="493" t="s">
        <v>98</v>
      </c>
      <c r="E1411" s="712" t="s">
        <v>320</v>
      </c>
      <c r="F1411" s="492" t="s">
        <v>302</v>
      </c>
      <c r="G1411" s="122" t="s">
        <v>18</v>
      </c>
      <c r="H1411" s="303" t="s">
        <v>955</v>
      </c>
      <c r="I1411" s="582" t="str">
        <f>VLOOKUP(H1411,'9a-Typen vloeren'!$A$10:$B$40,2,FALSE)</f>
        <v>zie kwaliteitsontwerp</v>
      </c>
      <c r="J1411" s="586">
        <v>5.75</v>
      </c>
      <c r="K1411" s="433">
        <f t="shared" si="113"/>
        <v>0</v>
      </c>
      <c r="L1411" s="433">
        <f t="shared" si="114"/>
        <v>0</v>
      </c>
      <c r="M1411" s="433">
        <f t="shared" si="115"/>
        <v>0</v>
      </c>
      <c r="N1411" s="672"/>
      <c r="O1411" s="729">
        <f>IF(N1411="",0,N1411*K1411/'9b-Vloeronderhoud'!$F$4)</f>
        <v>0</v>
      </c>
      <c r="P1411" s="672"/>
      <c r="Q1411" s="729" t="e">
        <f>IF(O1411="",0,P1411*L1411/'9b-Vloeronderhoud'!$F$6)</f>
        <v>#DIV/0!</v>
      </c>
      <c r="R1411" s="449">
        <v>1</v>
      </c>
      <c r="S1411" s="672">
        <v>190</v>
      </c>
      <c r="T1411" s="161" t="e">
        <f t="shared" si="111"/>
        <v>#DIV/0!</v>
      </c>
      <c r="U1411" s="162">
        <f>IF(S1411="nio",0,IF(S1411&gt;0,VLOOKUP(G1411,'3-Productie normen'!A:K,VLOOKUP(S1411,'3-Productie normen'!L:N,3,FALSE),FALSE)))</f>
        <v>0</v>
      </c>
      <c r="V1411" s="162">
        <f>VLOOKUP(G1411,'3-Productie normen'!A:K,10,FALSE)</f>
        <v>1859.5880019121171</v>
      </c>
      <c r="W1411" s="163">
        <f>VLOOKUP(G1411,'3-Productie normen'!A:K,11,FALSE)</f>
        <v>0</v>
      </c>
      <c r="X1411" s="163"/>
      <c r="Z1411" s="129">
        <f t="shared" si="112"/>
        <v>1092.5</v>
      </c>
    </row>
    <row r="1412" spans="1:26" ht="14.1" customHeight="1">
      <c r="A1412" s="144">
        <v>1450</v>
      </c>
      <c r="B1412" s="525" t="s">
        <v>261</v>
      </c>
      <c r="C1412" s="160" t="s">
        <v>542</v>
      </c>
      <c r="D1412" s="493" t="s">
        <v>98</v>
      </c>
      <c r="E1412" s="712" t="s">
        <v>321</v>
      </c>
      <c r="F1412" s="492" t="s">
        <v>313</v>
      </c>
      <c r="G1412" s="460" t="s">
        <v>881</v>
      </c>
      <c r="H1412" s="492" t="s">
        <v>100</v>
      </c>
      <c r="I1412" s="582" t="str">
        <f>VLOOKUP(H1412,'9a-Typen vloeren'!$A$10:$B$40,2,FALSE)</f>
        <v>Sprayen/ conserveren</v>
      </c>
      <c r="J1412" s="586">
        <v>5</v>
      </c>
      <c r="K1412" s="433">
        <f t="shared" si="113"/>
        <v>0</v>
      </c>
      <c r="L1412" s="433">
        <f t="shared" si="114"/>
        <v>0</v>
      </c>
      <c r="M1412" s="433">
        <f t="shared" si="115"/>
        <v>0</v>
      </c>
      <c r="N1412" s="672"/>
      <c r="O1412" s="729">
        <f>IF(N1412="",0,N1412*K1412/'9b-Vloeronderhoud'!$F$4)</f>
        <v>0</v>
      </c>
      <c r="P1412" s="672"/>
      <c r="Q1412" s="729" t="e">
        <f>IF(O1412="",0,P1412*L1412/'9b-Vloeronderhoud'!$F$6)</f>
        <v>#DIV/0!</v>
      </c>
      <c r="R1412" s="449">
        <v>1</v>
      </c>
      <c r="S1412" s="672" t="s">
        <v>179</v>
      </c>
      <c r="T1412" s="161">
        <f t="shared" si="111"/>
        <v>0</v>
      </c>
      <c r="U1412" s="162">
        <f>IF(S1412="nio",0,IF(S1412&gt;0,VLOOKUP(G1412,'3-Productie normen'!A:K,VLOOKUP(S1412,'3-Productie normen'!L:N,3,FALSE),FALSE)))</f>
        <v>0</v>
      </c>
      <c r="V1412" s="162">
        <f>VLOOKUP(G1412,'3-Productie normen'!A:K,10,FALSE)</f>
        <v>5262.809993648526</v>
      </c>
      <c r="W1412" s="163">
        <f>VLOOKUP(G1412,'3-Productie normen'!A:K,11,FALSE)</f>
        <v>0</v>
      </c>
      <c r="X1412" s="163"/>
      <c r="Z1412" s="129">
        <f t="shared" si="112"/>
        <v>0</v>
      </c>
    </row>
    <row r="1413" spans="1:26" ht="14.1" customHeight="1">
      <c r="A1413" s="144">
        <v>1451</v>
      </c>
      <c r="B1413" s="525" t="s">
        <v>261</v>
      </c>
      <c r="C1413" s="160" t="s">
        <v>542</v>
      </c>
      <c r="D1413" s="493" t="s">
        <v>98</v>
      </c>
      <c r="E1413" s="712" t="s">
        <v>324</v>
      </c>
      <c r="F1413" s="492" t="s">
        <v>287</v>
      </c>
      <c r="G1413" s="126" t="s">
        <v>287</v>
      </c>
      <c r="H1413" s="492" t="s">
        <v>102</v>
      </c>
      <c r="I1413" s="582" t="str">
        <f>VLOOKUP(H1413,'9a-Typen vloeren'!$A$10:$B$40,2,FALSE)</f>
        <v>n.v.t.</v>
      </c>
      <c r="J1413" s="586">
        <v>10.600000381469727</v>
      </c>
      <c r="K1413" s="433">
        <f t="shared" si="113"/>
        <v>0</v>
      </c>
      <c r="L1413" s="433">
        <f t="shared" si="114"/>
        <v>0</v>
      </c>
      <c r="M1413" s="433">
        <f t="shared" si="115"/>
        <v>0</v>
      </c>
      <c r="N1413" s="672"/>
      <c r="O1413" s="729">
        <f>IF(N1413="",0,N1413*K1413/'9b-Vloeronderhoud'!$F$4)</f>
        <v>0</v>
      </c>
      <c r="P1413" s="672"/>
      <c r="Q1413" s="729" t="e">
        <f>IF(O1413="",0,P1413*L1413/'9b-Vloeronderhoud'!$F$6)</f>
        <v>#DIV/0!</v>
      </c>
      <c r="R1413" s="449">
        <v>1</v>
      </c>
      <c r="S1413" s="672">
        <v>80</v>
      </c>
      <c r="T1413" s="161" t="e">
        <f t="shared" si="111"/>
        <v>#DIV/0!</v>
      </c>
      <c r="U1413" s="162">
        <f>IF(S1413="nio",0,IF(S1413&gt;0,VLOOKUP(G1413,'3-Productie normen'!A:K,VLOOKUP(S1413,'3-Productie normen'!L:N,3,FALSE),FALSE)))</f>
        <v>0</v>
      </c>
      <c r="V1413" s="162">
        <f>VLOOKUP(G1413,'3-Productie normen'!A:K,10,FALSE)</f>
        <v>519.460002565384</v>
      </c>
      <c r="W1413" s="163">
        <f>VLOOKUP(G1413,'3-Productie normen'!A:K,11,FALSE)</f>
        <v>0</v>
      </c>
      <c r="X1413" s="163"/>
      <c r="Z1413" s="129">
        <f t="shared" si="112"/>
        <v>848.00003051757813</v>
      </c>
    </row>
    <row r="1414" spans="1:26" ht="14.1" customHeight="1">
      <c r="A1414" s="144">
        <v>1452</v>
      </c>
      <c r="B1414" s="525" t="s">
        <v>261</v>
      </c>
      <c r="C1414" s="160" t="s">
        <v>542</v>
      </c>
      <c r="D1414" s="493" t="s">
        <v>98</v>
      </c>
      <c r="E1414" s="712" t="s">
        <v>544</v>
      </c>
      <c r="F1414" s="492" t="s">
        <v>412</v>
      </c>
      <c r="G1414" s="303" t="s">
        <v>287</v>
      </c>
      <c r="H1414" s="303" t="s">
        <v>332</v>
      </c>
      <c r="I1414" s="582" t="str">
        <f>VLOOKUP(H1414,'9a-Typen vloeren'!$A$10:$B$40,2,FALSE)</f>
        <v>Sproei/extraheren</v>
      </c>
      <c r="J1414" s="586">
        <v>3</v>
      </c>
      <c r="K1414" s="433">
        <f t="shared" si="113"/>
        <v>0</v>
      </c>
      <c r="L1414" s="433">
        <f t="shared" si="114"/>
        <v>0</v>
      </c>
      <c r="M1414" s="433">
        <f t="shared" si="115"/>
        <v>3</v>
      </c>
      <c r="N1414" s="672"/>
      <c r="O1414" s="729">
        <f>IF(N1414="",0,N1414*K1414/'9b-Vloeronderhoud'!$F$4)</f>
        <v>0</v>
      </c>
      <c r="P1414" s="672"/>
      <c r="Q1414" s="729" t="e">
        <f>IF(O1414="",0,P1414*L1414/'9b-Vloeronderhoud'!$F$6)</f>
        <v>#DIV/0!</v>
      </c>
      <c r="R1414" s="449">
        <v>1</v>
      </c>
      <c r="S1414" s="672">
        <v>80</v>
      </c>
      <c r="T1414" s="161" t="e">
        <f t="shared" si="111"/>
        <v>#DIV/0!</v>
      </c>
      <c r="U1414" s="162">
        <f>IF(S1414="nio",0,IF(S1414&gt;0,VLOOKUP(G1414,'3-Productie normen'!A:K,VLOOKUP(S1414,'3-Productie normen'!L:N,3,FALSE),FALSE)))</f>
        <v>0</v>
      </c>
      <c r="V1414" s="162">
        <f>VLOOKUP(G1414,'3-Productie normen'!A:K,10,FALSE)</f>
        <v>519.460002565384</v>
      </c>
      <c r="W1414" s="163">
        <f>VLOOKUP(G1414,'3-Productie normen'!A:K,11,FALSE)</f>
        <v>0</v>
      </c>
      <c r="X1414" s="163"/>
      <c r="Z1414" s="129">
        <f t="shared" si="112"/>
        <v>240</v>
      </c>
    </row>
    <row r="1415" spans="1:26" ht="14.1" customHeight="1">
      <c r="A1415" s="144">
        <v>1453</v>
      </c>
      <c r="B1415" s="525" t="s">
        <v>261</v>
      </c>
      <c r="C1415" s="160" t="s">
        <v>542</v>
      </c>
      <c r="D1415" s="493" t="s">
        <v>98</v>
      </c>
      <c r="E1415" s="712" t="s">
        <v>325</v>
      </c>
      <c r="F1415" s="492" t="s">
        <v>283</v>
      </c>
      <c r="G1415" s="122" t="s">
        <v>286</v>
      </c>
      <c r="H1415" s="492" t="s">
        <v>100</v>
      </c>
      <c r="I1415" s="582" t="str">
        <f>VLOOKUP(H1415,'9a-Typen vloeren'!$A$10:$B$40,2,FALSE)</f>
        <v>Sprayen/ conserveren</v>
      </c>
      <c r="J1415" s="586">
        <v>25</v>
      </c>
      <c r="K1415" s="433">
        <f t="shared" si="113"/>
        <v>25</v>
      </c>
      <c r="L1415" s="433">
        <f t="shared" si="114"/>
        <v>0</v>
      </c>
      <c r="M1415" s="433">
        <f t="shared" si="115"/>
        <v>0</v>
      </c>
      <c r="N1415" s="672">
        <v>2</v>
      </c>
      <c r="O1415" s="729" t="e">
        <f>IF(N1415="",0,N1415*K1415/'9b-Vloeronderhoud'!$F$4)</f>
        <v>#DIV/0!</v>
      </c>
      <c r="P1415" s="672"/>
      <c r="Q1415" s="729" t="e">
        <f>IF(O1415="",0,P1415*L1415/'9b-Vloeronderhoud'!$F$6)</f>
        <v>#DIV/0!</v>
      </c>
      <c r="R1415" s="449">
        <v>1</v>
      </c>
      <c r="S1415" s="672">
        <v>120</v>
      </c>
      <c r="T1415" s="161" t="e">
        <f t="shared" si="111"/>
        <v>#DIV/0!</v>
      </c>
      <c r="U1415" s="162">
        <f>IF(S1415="nio",0,IF(S1415&gt;0,VLOOKUP(G1415,'3-Productie normen'!A:K,VLOOKUP(S1415,'3-Productie normen'!L:N,3,FALSE),FALSE)))</f>
        <v>0</v>
      </c>
      <c r="V1415" s="162">
        <f>VLOOKUP(G1415,'3-Productie normen'!A:K,10,FALSE)</f>
        <v>6152.9500017547598</v>
      </c>
      <c r="W1415" s="163">
        <f>VLOOKUP(G1415,'3-Productie normen'!A:K,11,FALSE)</f>
        <v>0</v>
      </c>
      <c r="X1415" s="163"/>
      <c r="Z1415" s="129">
        <f t="shared" si="112"/>
        <v>3000</v>
      </c>
    </row>
    <row r="1416" spans="1:26" ht="14.1" customHeight="1">
      <c r="A1416" s="144">
        <v>1454</v>
      </c>
      <c r="B1416" s="525" t="s">
        <v>261</v>
      </c>
      <c r="C1416" s="160" t="s">
        <v>542</v>
      </c>
      <c r="D1416" s="493" t="s">
        <v>98</v>
      </c>
      <c r="E1416" s="702" t="s">
        <v>326</v>
      </c>
      <c r="F1416" s="494" t="s">
        <v>221</v>
      </c>
      <c r="G1416" s="492" t="s">
        <v>221</v>
      </c>
      <c r="H1416" s="492" t="s">
        <v>100</v>
      </c>
      <c r="I1416" s="582" t="str">
        <f>VLOOKUP(H1416,'9a-Typen vloeren'!$A$10:$B$40,2,FALSE)</f>
        <v>Sprayen/ conserveren</v>
      </c>
      <c r="J1416" s="586">
        <v>50.75</v>
      </c>
      <c r="K1416" s="433">
        <f t="shared" si="113"/>
        <v>50.75</v>
      </c>
      <c r="L1416" s="433">
        <f t="shared" si="114"/>
        <v>0</v>
      </c>
      <c r="M1416" s="433">
        <f t="shared" si="115"/>
        <v>0</v>
      </c>
      <c r="N1416" s="672"/>
      <c r="O1416" s="729">
        <f>IF(N1416="",0,N1416*K1416/'9b-Vloeronderhoud'!$F$4)</f>
        <v>0</v>
      </c>
      <c r="P1416" s="672"/>
      <c r="Q1416" s="729" t="e">
        <f>IF(O1416="",0,P1416*L1416/'9b-Vloeronderhoud'!$F$6)</f>
        <v>#DIV/0!</v>
      </c>
      <c r="R1416" s="449">
        <v>1</v>
      </c>
      <c r="S1416" s="672">
        <v>80</v>
      </c>
      <c r="T1416" s="161" t="e">
        <f t="shared" si="111"/>
        <v>#DIV/0!</v>
      </c>
      <c r="U1416" s="162">
        <f>IF(S1416="nio",0,IF(S1416&gt;0,VLOOKUP(G1416,'3-Productie normen'!A:K,VLOOKUP(S1416,'3-Productie normen'!L:N,3,FALSE),FALSE)))</f>
        <v>0</v>
      </c>
      <c r="V1416" s="162">
        <f>VLOOKUP(G1416,'3-Productie normen'!A:K,10,FALSE)</f>
        <v>16013.110036668773</v>
      </c>
      <c r="W1416" s="163">
        <f>VLOOKUP(G1416,'3-Productie normen'!A:K,11,FALSE)</f>
        <v>0</v>
      </c>
      <c r="X1416" s="163"/>
      <c r="Z1416" s="129">
        <f t="shared" si="112"/>
        <v>4060</v>
      </c>
    </row>
    <row r="1417" spans="1:26" ht="14.1" customHeight="1">
      <c r="A1417" s="144">
        <v>1455</v>
      </c>
      <c r="B1417" s="525" t="s">
        <v>261</v>
      </c>
      <c r="C1417" s="160" t="s">
        <v>542</v>
      </c>
      <c r="D1417" s="493" t="s">
        <v>98</v>
      </c>
      <c r="E1417" s="702" t="s">
        <v>328</v>
      </c>
      <c r="F1417" s="494" t="s">
        <v>283</v>
      </c>
      <c r="G1417" s="546" t="s">
        <v>286</v>
      </c>
      <c r="H1417" s="492" t="s">
        <v>100</v>
      </c>
      <c r="I1417" s="582" t="str">
        <f>VLOOKUP(H1417,'9a-Typen vloeren'!$A$10:$B$40,2,FALSE)</f>
        <v>Sprayen/ conserveren</v>
      </c>
      <c r="J1417" s="586">
        <v>17.5</v>
      </c>
      <c r="K1417" s="433">
        <f t="shared" si="113"/>
        <v>17.5</v>
      </c>
      <c r="L1417" s="433">
        <f t="shared" si="114"/>
        <v>0</v>
      </c>
      <c r="M1417" s="433">
        <f t="shared" si="115"/>
        <v>0</v>
      </c>
      <c r="N1417" s="672">
        <v>2</v>
      </c>
      <c r="O1417" s="729" t="e">
        <f>IF(N1417="",0,N1417*K1417/'9b-Vloeronderhoud'!$F$4)</f>
        <v>#DIV/0!</v>
      </c>
      <c r="P1417" s="672"/>
      <c r="Q1417" s="729" t="e">
        <f>IF(O1417="",0,P1417*L1417/'9b-Vloeronderhoud'!$F$6)</f>
        <v>#DIV/0!</v>
      </c>
      <c r="R1417" s="449">
        <v>1</v>
      </c>
      <c r="S1417" s="672">
        <v>120</v>
      </c>
      <c r="T1417" s="161" t="e">
        <f t="shared" si="111"/>
        <v>#DIV/0!</v>
      </c>
      <c r="U1417" s="162">
        <f>IF(S1417="nio",0,IF(S1417&gt;0,VLOOKUP(G1417,'3-Productie normen'!A:K,VLOOKUP(S1417,'3-Productie normen'!L:N,3,FALSE),FALSE)))</f>
        <v>0</v>
      </c>
      <c r="V1417" s="162">
        <f>VLOOKUP(G1417,'3-Productie normen'!A:K,10,FALSE)</f>
        <v>6152.9500017547598</v>
      </c>
      <c r="W1417" s="163">
        <f>VLOOKUP(G1417,'3-Productie normen'!A:K,11,FALSE)</f>
        <v>0</v>
      </c>
      <c r="X1417" s="163"/>
      <c r="Z1417" s="129">
        <f t="shared" si="112"/>
        <v>2100</v>
      </c>
    </row>
    <row r="1418" spans="1:26" ht="14.1" customHeight="1">
      <c r="A1418" s="144">
        <v>1456</v>
      </c>
      <c r="B1418" s="525" t="s">
        <v>261</v>
      </c>
      <c r="C1418" s="160" t="s">
        <v>542</v>
      </c>
      <c r="D1418" s="493" t="s">
        <v>98</v>
      </c>
      <c r="E1418" s="702" t="s">
        <v>329</v>
      </c>
      <c r="F1418" s="494" t="s">
        <v>221</v>
      </c>
      <c r="G1418" s="533" t="s">
        <v>221</v>
      </c>
      <c r="H1418" s="492" t="s">
        <v>100</v>
      </c>
      <c r="I1418" s="582" t="str">
        <f>VLOOKUP(H1418,'9a-Typen vloeren'!$A$10:$B$40,2,FALSE)</f>
        <v>Sprayen/ conserveren</v>
      </c>
      <c r="J1418" s="586">
        <v>63.650001525878906</v>
      </c>
      <c r="K1418" s="433">
        <f t="shared" si="113"/>
        <v>63.650001525878906</v>
      </c>
      <c r="L1418" s="433">
        <f t="shared" si="114"/>
        <v>0</v>
      </c>
      <c r="M1418" s="433">
        <f t="shared" si="115"/>
        <v>0</v>
      </c>
      <c r="N1418" s="672"/>
      <c r="O1418" s="729">
        <f>IF(N1418="",0,N1418*K1418/'9b-Vloeronderhoud'!$F$4)</f>
        <v>0</v>
      </c>
      <c r="P1418" s="672"/>
      <c r="Q1418" s="729" t="e">
        <f>IF(O1418="",0,P1418*L1418/'9b-Vloeronderhoud'!$F$6)</f>
        <v>#DIV/0!</v>
      </c>
      <c r="R1418" s="449">
        <v>1</v>
      </c>
      <c r="S1418" s="672">
        <v>80</v>
      </c>
      <c r="T1418" s="161" t="e">
        <f t="shared" ref="T1418:T1481" si="116">IF(S1418="nio",0,IF(S1418&gt;0,S1418*J1418/U1418,0))*R1418</f>
        <v>#DIV/0!</v>
      </c>
      <c r="U1418" s="162">
        <f>IF(S1418="nio",0,IF(S1418&gt;0,VLOOKUP(G1418,'3-Productie normen'!A:K,VLOOKUP(S1418,'3-Productie normen'!L:N,3,FALSE),FALSE)))</f>
        <v>0</v>
      </c>
      <c r="V1418" s="162">
        <f>VLOOKUP(G1418,'3-Productie normen'!A:K,10,FALSE)</f>
        <v>16013.110036668773</v>
      </c>
      <c r="W1418" s="163">
        <f>VLOOKUP(G1418,'3-Productie normen'!A:K,11,FALSE)</f>
        <v>0</v>
      </c>
      <c r="X1418" s="163"/>
      <c r="Z1418" s="129">
        <f t="shared" ref="Z1418:Z1481" si="117">SUM(S1418:S1418)*J1418</f>
        <v>5092.0001220703125</v>
      </c>
    </row>
    <row r="1419" spans="1:26" ht="14.1" customHeight="1">
      <c r="A1419" s="144">
        <v>1457</v>
      </c>
      <c r="B1419" s="525" t="s">
        <v>261</v>
      </c>
      <c r="C1419" s="160" t="s">
        <v>542</v>
      </c>
      <c r="D1419" s="493" t="s">
        <v>98</v>
      </c>
      <c r="E1419" s="702" t="s">
        <v>330</v>
      </c>
      <c r="F1419" s="494" t="s">
        <v>404</v>
      </c>
      <c r="G1419" s="303" t="s">
        <v>286</v>
      </c>
      <c r="H1419" s="492" t="s">
        <v>100</v>
      </c>
      <c r="I1419" s="582" t="str">
        <f>VLOOKUP(H1419,'9a-Typen vloeren'!$A$10:$B$40,2,FALSE)</f>
        <v>Sprayen/ conserveren</v>
      </c>
      <c r="J1419" s="586">
        <v>69.099998474121094</v>
      </c>
      <c r="K1419" s="433">
        <f t="shared" si="113"/>
        <v>69.099998474121094</v>
      </c>
      <c r="L1419" s="433">
        <f t="shared" si="114"/>
        <v>0</v>
      </c>
      <c r="M1419" s="433">
        <f t="shared" si="115"/>
        <v>0</v>
      </c>
      <c r="N1419" s="672">
        <v>2</v>
      </c>
      <c r="O1419" s="729" t="e">
        <f>IF(N1419="",0,N1419*K1419/'9b-Vloeronderhoud'!$F$4)</f>
        <v>#DIV/0!</v>
      </c>
      <c r="P1419" s="672"/>
      <c r="Q1419" s="729" t="e">
        <f>IF(O1419="",0,P1419*L1419/'9b-Vloeronderhoud'!$F$6)</f>
        <v>#DIV/0!</v>
      </c>
      <c r="R1419" s="449">
        <v>1</v>
      </c>
      <c r="S1419" s="672">
        <v>120</v>
      </c>
      <c r="T1419" s="161" t="e">
        <f t="shared" si="116"/>
        <v>#DIV/0!</v>
      </c>
      <c r="U1419" s="162">
        <f>IF(S1419="nio",0,IF(S1419&gt;0,VLOOKUP(G1419,'3-Productie normen'!A:K,VLOOKUP(S1419,'3-Productie normen'!L:N,3,FALSE),FALSE)))</f>
        <v>0</v>
      </c>
      <c r="V1419" s="162">
        <f>VLOOKUP(G1419,'3-Productie normen'!A:K,10,FALSE)</f>
        <v>6152.9500017547598</v>
      </c>
      <c r="W1419" s="163">
        <f>VLOOKUP(G1419,'3-Productie normen'!A:K,11,FALSE)</f>
        <v>0</v>
      </c>
      <c r="X1419" s="163"/>
      <c r="Z1419" s="129">
        <f t="shared" si="117"/>
        <v>8291.9998168945313</v>
      </c>
    </row>
    <row r="1420" spans="1:26" ht="14.1" customHeight="1">
      <c r="A1420" s="144">
        <v>1458</v>
      </c>
      <c r="B1420" s="525" t="s">
        <v>261</v>
      </c>
      <c r="C1420" s="160" t="s">
        <v>542</v>
      </c>
      <c r="D1420" s="493" t="s">
        <v>98</v>
      </c>
      <c r="E1420" s="702" t="s">
        <v>331</v>
      </c>
      <c r="F1420" s="494" t="s">
        <v>281</v>
      </c>
      <c r="G1420" s="460" t="s">
        <v>881</v>
      </c>
      <c r="H1420" s="492" t="s">
        <v>101</v>
      </c>
      <c r="I1420" s="582" t="str">
        <f>VLOOKUP(H1420,'9a-Typen vloeren'!$A$10:$B$40,2,FALSE)</f>
        <v>Schrobben</v>
      </c>
      <c r="J1420" s="586">
        <v>1.4500000476837158</v>
      </c>
      <c r="K1420" s="433">
        <f t="shared" si="113"/>
        <v>0</v>
      </c>
      <c r="L1420" s="433">
        <f t="shared" si="114"/>
        <v>0</v>
      </c>
      <c r="M1420" s="433">
        <f t="shared" si="115"/>
        <v>0</v>
      </c>
      <c r="N1420" s="672"/>
      <c r="O1420" s="729">
        <f>IF(N1420="",0,N1420*K1420/'9b-Vloeronderhoud'!$F$4)</f>
        <v>0</v>
      </c>
      <c r="P1420" s="672"/>
      <c r="Q1420" s="729" t="e">
        <f>IF(O1420="",0,P1420*L1420/'9b-Vloeronderhoud'!$F$6)</f>
        <v>#DIV/0!</v>
      </c>
      <c r="R1420" s="449">
        <v>1</v>
      </c>
      <c r="S1420" s="672" t="s">
        <v>179</v>
      </c>
      <c r="T1420" s="161">
        <f t="shared" si="116"/>
        <v>0</v>
      </c>
      <c r="U1420" s="162">
        <f>IF(S1420="nio",0,IF(S1420&gt;0,VLOOKUP(G1420,'3-Productie normen'!A:K,VLOOKUP(S1420,'3-Productie normen'!L:N,3,FALSE),FALSE)))</f>
        <v>0</v>
      </c>
      <c r="V1420" s="162">
        <f>VLOOKUP(G1420,'3-Productie normen'!A:K,10,FALSE)</f>
        <v>5262.809993648526</v>
      </c>
      <c r="W1420" s="163">
        <f>VLOOKUP(G1420,'3-Productie normen'!A:K,11,FALSE)</f>
        <v>0</v>
      </c>
      <c r="X1420" s="163"/>
      <c r="Z1420" s="129">
        <f t="shared" si="117"/>
        <v>0</v>
      </c>
    </row>
    <row r="1421" spans="1:26" ht="14.1" customHeight="1">
      <c r="A1421" s="144">
        <v>1459</v>
      </c>
      <c r="B1421" s="525" t="s">
        <v>261</v>
      </c>
      <c r="C1421" s="160" t="s">
        <v>542</v>
      </c>
      <c r="D1421" s="493" t="s">
        <v>98</v>
      </c>
      <c r="E1421" s="702" t="s">
        <v>406</v>
      </c>
      <c r="F1421" s="494" t="s">
        <v>313</v>
      </c>
      <c r="G1421" s="460" t="s">
        <v>881</v>
      </c>
      <c r="H1421" s="492" t="s">
        <v>101</v>
      </c>
      <c r="I1421" s="582" t="str">
        <f>VLOOKUP(H1421,'9a-Typen vloeren'!$A$10:$B$40,2,FALSE)</f>
        <v>Schrobben</v>
      </c>
      <c r="J1421" s="586">
        <v>1.4500000476837158</v>
      </c>
      <c r="K1421" s="433">
        <f t="shared" si="113"/>
        <v>0</v>
      </c>
      <c r="L1421" s="433">
        <f t="shared" si="114"/>
        <v>0</v>
      </c>
      <c r="M1421" s="433">
        <f t="shared" si="115"/>
        <v>0</v>
      </c>
      <c r="N1421" s="672"/>
      <c r="O1421" s="729">
        <f>IF(N1421="",0,N1421*K1421/'9b-Vloeronderhoud'!$F$4)</f>
        <v>0</v>
      </c>
      <c r="P1421" s="672"/>
      <c r="Q1421" s="729" t="e">
        <f>IF(O1421="",0,P1421*L1421/'9b-Vloeronderhoud'!$F$6)</f>
        <v>#DIV/0!</v>
      </c>
      <c r="R1421" s="449">
        <v>1</v>
      </c>
      <c r="S1421" s="672" t="s">
        <v>179</v>
      </c>
      <c r="T1421" s="161">
        <f t="shared" si="116"/>
        <v>0</v>
      </c>
      <c r="U1421" s="162">
        <f>IF(S1421="nio",0,IF(S1421&gt;0,VLOOKUP(G1421,'3-Productie normen'!A:K,VLOOKUP(S1421,'3-Productie normen'!L:N,3,FALSE),FALSE)))</f>
        <v>0</v>
      </c>
      <c r="V1421" s="162">
        <f>VLOOKUP(G1421,'3-Productie normen'!A:K,10,FALSE)</f>
        <v>5262.809993648526</v>
      </c>
      <c r="W1421" s="163">
        <f>VLOOKUP(G1421,'3-Productie normen'!A:K,11,FALSE)</f>
        <v>0</v>
      </c>
      <c r="X1421" s="163"/>
      <c r="Z1421" s="129">
        <f t="shared" si="117"/>
        <v>0</v>
      </c>
    </row>
    <row r="1422" spans="1:26" ht="14.1" customHeight="1">
      <c r="A1422" s="144">
        <v>1460</v>
      </c>
      <c r="B1422" s="525" t="s">
        <v>261</v>
      </c>
      <c r="C1422" s="160" t="s">
        <v>542</v>
      </c>
      <c r="D1422" s="493" t="s">
        <v>98</v>
      </c>
      <c r="E1422" s="702" t="s">
        <v>407</v>
      </c>
      <c r="F1422" s="494" t="s">
        <v>287</v>
      </c>
      <c r="G1422" s="303" t="s">
        <v>287</v>
      </c>
      <c r="H1422" s="492" t="s">
        <v>102</v>
      </c>
      <c r="I1422" s="582" t="str">
        <f>VLOOKUP(H1422,'9a-Typen vloeren'!$A$10:$B$40,2,FALSE)</f>
        <v>n.v.t.</v>
      </c>
      <c r="J1422" s="586">
        <v>10</v>
      </c>
      <c r="K1422" s="433">
        <f t="shared" si="113"/>
        <v>0</v>
      </c>
      <c r="L1422" s="433">
        <f t="shared" si="114"/>
        <v>0</v>
      </c>
      <c r="M1422" s="433">
        <f t="shared" si="115"/>
        <v>0</v>
      </c>
      <c r="N1422" s="672"/>
      <c r="O1422" s="729">
        <f>IF(N1422="",0,N1422*K1422/'9b-Vloeronderhoud'!$F$4)</f>
        <v>0</v>
      </c>
      <c r="P1422" s="672"/>
      <c r="Q1422" s="729" t="e">
        <f>IF(O1422="",0,P1422*L1422/'9b-Vloeronderhoud'!$F$6)</f>
        <v>#DIV/0!</v>
      </c>
      <c r="R1422" s="449">
        <v>1</v>
      </c>
      <c r="S1422" s="672">
        <v>80</v>
      </c>
      <c r="T1422" s="161" t="e">
        <f t="shared" si="116"/>
        <v>#DIV/0!</v>
      </c>
      <c r="U1422" s="162">
        <f>IF(S1422="nio",0,IF(S1422&gt;0,VLOOKUP(G1422,'3-Productie normen'!A:K,VLOOKUP(S1422,'3-Productie normen'!L:N,3,FALSE),FALSE)))</f>
        <v>0</v>
      </c>
      <c r="V1422" s="162">
        <f>VLOOKUP(G1422,'3-Productie normen'!A:K,10,FALSE)</f>
        <v>519.460002565384</v>
      </c>
      <c r="W1422" s="163">
        <f>VLOOKUP(G1422,'3-Productie normen'!A:K,11,FALSE)</f>
        <v>0</v>
      </c>
      <c r="X1422" s="163"/>
      <c r="Z1422" s="129">
        <f t="shared" si="117"/>
        <v>800</v>
      </c>
    </row>
    <row r="1423" spans="1:26" ht="14.1" customHeight="1">
      <c r="A1423" s="144">
        <v>1461</v>
      </c>
      <c r="B1423" s="525" t="s">
        <v>261</v>
      </c>
      <c r="C1423" s="160" t="s">
        <v>542</v>
      </c>
      <c r="D1423" s="493" t="s">
        <v>98</v>
      </c>
      <c r="E1423" s="702" t="s">
        <v>408</v>
      </c>
      <c r="F1423" s="494" t="s">
        <v>313</v>
      </c>
      <c r="G1423" s="460" t="s">
        <v>881</v>
      </c>
      <c r="H1423" s="492" t="s">
        <v>100</v>
      </c>
      <c r="I1423" s="582" t="str">
        <f>VLOOKUP(H1423,'9a-Typen vloeren'!$A$10:$B$40,2,FALSE)</f>
        <v>Sprayen/ conserveren</v>
      </c>
      <c r="J1423" s="586">
        <v>6.6999998092651367</v>
      </c>
      <c r="K1423" s="433">
        <f t="shared" si="113"/>
        <v>0</v>
      </c>
      <c r="L1423" s="433">
        <f t="shared" si="114"/>
        <v>0</v>
      </c>
      <c r="M1423" s="433">
        <f t="shared" si="115"/>
        <v>0</v>
      </c>
      <c r="N1423" s="672"/>
      <c r="O1423" s="729">
        <f>IF(N1423="",0,N1423*K1423/'9b-Vloeronderhoud'!$F$4)</f>
        <v>0</v>
      </c>
      <c r="P1423" s="672"/>
      <c r="Q1423" s="729" t="e">
        <f>IF(O1423="",0,P1423*L1423/'9b-Vloeronderhoud'!$F$6)</f>
        <v>#DIV/0!</v>
      </c>
      <c r="R1423" s="449">
        <v>1</v>
      </c>
      <c r="S1423" s="672" t="s">
        <v>179</v>
      </c>
      <c r="T1423" s="161">
        <f t="shared" si="116"/>
        <v>0</v>
      </c>
      <c r="U1423" s="162">
        <f>IF(S1423="nio",0,IF(S1423&gt;0,VLOOKUP(G1423,'3-Productie normen'!A:K,VLOOKUP(S1423,'3-Productie normen'!L:N,3,FALSE),FALSE)))</f>
        <v>0</v>
      </c>
      <c r="V1423" s="162">
        <f>VLOOKUP(G1423,'3-Productie normen'!A:K,10,FALSE)</f>
        <v>5262.809993648526</v>
      </c>
      <c r="W1423" s="163">
        <f>VLOOKUP(G1423,'3-Productie normen'!A:K,11,FALSE)</f>
        <v>0</v>
      </c>
      <c r="X1423" s="163"/>
      <c r="Z1423" s="129">
        <f t="shared" si="117"/>
        <v>0</v>
      </c>
    </row>
    <row r="1424" spans="1:26" ht="14.1" customHeight="1">
      <c r="A1424" s="144">
        <v>1462</v>
      </c>
      <c r="B1424" s="525" t="s">
        <v>261</v>
      </c>
      <c r="C1424" s="160" t="s">
        <v>542</v>
      </c>
      <c r="D1424" s="493" t="s">
        <v>98</v>
      </c>
      <c r="E1424" s="702" t="s">
        <v>414</v>
      </c>
      <c r="F1424" s="494" t="s">
        <v>302</v>
      </c>
      <c r="G1424" s="303" t="s">
        <v>18</v>
      </c>
      <c r="H1424" s="303" t="s">
        <v>955</v>
      </c>
      <c r="I1424" s="582" t="str">
        <f>VLOOKUP(H1424,'9a-Typen vloeren'!$A$10:$B$40,2,FALSE)</f>
        <v>zie kwaliteitsontwerp</v>
      </c>
      <c r="J1424" s="586">
        <v>4.8000001907348633</v>
      </c>
      <c r="K1424" s="433">
        <f t="shared" si="113"/>
        <v>0</v>
      </c>
      <c r="L1424" s="433">
        <f t="shared" si="114"/>
        <v>0</v>
      </c>
      <c r="M1424" s="433">
        <f t="shared" si="115"/>
        <v>0</v>
      </c>
      <c r="N1424" s="672"/>
      <c r="O1424" s="729">
        <f>IF(N1424="",0,N1424*K1424/'9b-Vloeronderhoud'!$F$4)</f>
        <v>0</v>
      </c>
      <c r="P1424" s="672"/>
      <c r="Q1424" s="729" t="e">
        <f>IF(O1424="",0,P1424*L1424/'9b-Vloeronderhoud'!$F$6)</f>
        <v>#DIV/0!</v>
      </c>
      <c r="R1424" s="449">
        <v>1</v>
      </c>
      <c r="S1424" s="672">
        <v>190</v>
      </c>
      <c r="T1424" s="161" t="e">
        <f t="shared" si="116"/>
        <v>#DIV/0!</v>
      </c>
      <c r="U1424" s="162">
        <f>IF(S1424="nio",0,IF(S1424&gt;0,VLOOKUP(G1424,'3-Productie normen'!A:K,VLOOKUP(S1424,'3-Productie normen'!L:N,3,FALSE),FALSE)))</f>
        <v>0</v>
      </c>
      <c r="V1424" s="162">
        <f>VLOOKUP(G1424,'3-Productie normen'!A:K,10,FALSE)</f>
        <v>1859.5880019121171</v>
      </c>
      <c r="W1424" s="163">
        <f>VLOOKUP(G1424,'3-Productie normen'!A:K,11,FALSE)</f>
        <v>0</v>
      </c>
      <c r="X1424" s="163"/>
      <c r="Z1424" s="129">
        <f t="shared" si="117"/>
        <v>912.00003623962402</v>
      </c>
    </row>
    <row r="1425" spans="1:26" ht="14.1" customHeight="1">
      <c r="A1425" s="144">
        <v>1463</v>
      </c>
      <c r="B1425" s="525" t="s">
        <v>261</v>
      </c>
      <c r="C1425" s="160" t="s">
        <v>542</v>
      </c>
      <c r="D1425" s="493" t="s">
        <v>98</v>
      </c>
      <c r="E1425" s="702" t="s">
        <v>415</v>
      </c>
      <c r="F1425" s="494" t="s">
        <v>221</v>
      </c>
      <c r="G1425" s="460" t="s">
        <v>221</v>
      </c>
      <c r="H1425" s="492" t="s">
        <v>100</v>
      </c>
      <c r="I1425" s="582" t="str">
        <f>VLOOKUP(H1425,'9a-Typen vloeren'!$A$10:$B$40,2,FALSE)</f>
        <v>Sprayen/ conserveren</v>
      </c>
      <c r="J1425" s="586">
        <v>63.650001525878906</v>
      </c>
      <c r="K1425" s="433">
        <f t="shared" si="113"/>
        <v>63.650001525878906</v>
      </c>
      <c r="L1425" s="433">
        <f t="shared" si="114"/>
        <v>0</v>
      </c>
      <c r="M1425" s="433">
        <f t="shared" si="115"/>
        <v>0</v>
      </c>
      <c r="N1425" s="672"/>
      <c r="O1425" s="729">
        <f>IF(N1425="",0,N1425*K1425/'9b-Vloeronderhoud'!$F$4)</f>
        <v>0</v>
      </c>
      <c r="P1425" s="672"/>
      <c r="Q1425" s="729" t="e">
        <f>IF(O1425="",0,P1425*L1425/'9b-Vloeronderhoud'!$F$6)</f>
        <v>#DIV/0!</v>
      </c>
      <c r="R1425" s="449">
        <v>1</v>
      </c>
      <c r="S1425" s="672">
        <v>80</v>
      </c>
      <c r="T1425" s="161" t="e">
        <f t="shared" si="116"/>
        <v>#DIV/0!</v>
      </c>
      <c r="U1425" s="162">
        <f>IF(S1425="nio",0,IF(S1425&gt;0,VLOOKUP(G1425,'3-Productie normen'!A:K,VLOOKUP(S1425,'3-Productie normen'!L:N,3,FALSE),FALSE)))</f>
        <v>0</v>
      </c>
      <c r="V1425" s="162">
        <f>VLOOKUP(G1425,'3-Productie normen'!A:K,10,FALSE)</f>
        <v>16013.110036668773</v>
      </c>
      <c r="W1425" s="163">
        <f>VLOOKUP(G1425,'3-Productie normen'!A:K,11,FALSE)</f>
        <v>0</v>
      </c>
      <c r="X1425" s="163"/>
      <c r="Z1425" s="129">
        <f t="shared" si="117"/>
        <v>5092.0001220703125</v>
      </c>
    </row>
    <row r="1426" spans="1:26" ht="14.1" customHeight="1">
      <c r="A1426" s="144">
        <v>1464</v>
      </c>
      <c r="B1426" s="525" t="s">
        <v>261</v>
      </c>
      <c r="C1426" s="160" t="s">
        <v>542</v>
      </c>
      <c r="D1426" s="493" t="s">
        <v>98</v>
      </c>
      <c r="E1426" s="702" t="s">
        <v>416</v>
      </c>
      <c r="F1426" s="494" t="s">
        <v>313</v>
      </c>
      <c r="G1426" s="460" t="s">
        <v>881</v>
      </c>
      <c r="H1426" s="492" t="s">
        <v>100</v>
      </c>
      <c r="I1426" s="582" t="str">
        <f>VLOOKUP(H1426,'9a-Typen vloeren'!$A$10:$B$40,2,FALSE)</f>
        <v>Sprayen/ conserveren</v>
      </c>
      <c r="J1426" s="586">
        <v>10.550000190734863</v>
      </c>
      <c r="K1426" s="433">
        <f t="shared" ref="K1426:K1489" si="118">IF(G1426="niet in onderhoud",0,IF(I1426="sprayen/ conserveren",J1426,0))</f>
        <v>0</v>
      </c>
      <c r="L1426" s="433">
        <f t="shared" ref="L1426:L1489" si="119">IF(G1426="niet in onderhoud",0,IF(I1426="schrobben",J1426,0))</f>
        <v>0</v>
      </c>
      <c r="M1426" s="433">
        <f t="shared" ref="M1426:M1489" si="120">IF(G1426="niet in onderhoud",0,IF(I1426="Sproei/extraheren",J1426,0))</f>
        <v>0</v>
      </c>
      <c r="N1426" s="672"/>
      <c r="O1426" s="729">
        <f>IF(N1426="",0,N1426*K1426/'9b-Vloeronderhoud'!$F$4)</f>
        <v>0</v>
      </c>
      <c r="P1426" s="672"/>
      <c r="Q1426" s="729" t="e">
        <f>IF(O1426="",0,P1426*L1426/'9b-Vloeronderhoud'!$F$6)</f>
        <v>#DIV/0!</v>
      </c>
      <c r="R1426" s="449">
        <v>1</v>
      </c>
      <c r="S1426" s="672" t="s">
        <v>179</v>
      </c>
      <c r="T1426" s="161">
        <f t="shared" si="116"/>
        <v>0</v>
      </c>
      <c r="U1426" s="162">
        <f>IF(S1426="nio",0,IF(S1426&gt;0,VLOOKUP(G1426,'3-Productie normen'!A:K,VLOOKUP(S1426,'3-Productie normen'!L:N,3,FALSE),FALSE)))</f>
        <v>0</v>
      </c>
      <c r="V1426" s="162">
        <f>VLOOKUP(G1426,'3-Productie normen'!A:K,10,FALSE)</f>
        <v>5262.809993648526</v>
      </c>
      <c r="W1426" s="163">
        <f>VLOOKUP(G1426,'3-Productie normen'!A:K,11,FALSE)</f>
        <v>0</v>
      </c>
      <c r="X1426" s="163"/>
      <c r="Z1426" s="129">
        <f t="shared" si="117"/>
        <v>0</v>
      </c>
    </row>
    <row r="1427" spans="1:26" ht="14.1" customHeight="1">
      <c r="A1427" s="144">
        <v>1465</v>
      </c>
      <c r="B1427" s="525" t="s">
        <v>261</v>
      </c>
      <c r="C1427" s="160" t="s">
        <v>542</v>
      </c>
      <c r="D1427" s="493" t="s">
        <v>98</v>
      </c>
      <c r="E1427" s="702" t="s">
        <v>417</v>
      </c>
      <c r="F1427" s="494" t="s">
        <v>313</v>
      </c>
      <c r="G1427" s="460" t="s">
        <v>881</v>
      </c>
      <c r="H1427" s="492" t="s">
        <v>100</v>
      </c>
      <c r="I1427" s="582" t="str">
        <f>VLOOKUP(H1427,'9a-Typen vloeren'!$A$10:$B$40,2,FALSE)</f>
        <v>Sprayen/ conserveren</v>
      </c>
      <c r="J1427" s="586">
        <v>2.7000000476837158</v>
      </c>
      <c r="K1427" s="433">
        <f t="shared" si="118"/>
        <v>0</v>
      </c>
      <c r="L1427" s="433">
        <f t="shared" si="119"/>
        <v>0</v>
      </c>
      <c r="M1427" s="433">
        <f t="shared" si="120"/>
        <v>0</v>
      </c>
      <c r="N1427" s="672"/>
      <c r="O1427" s="729">
        <f>IF(N1427="",0,N1427*K1427/'9b-Vloeronderhoud'!$F$4)</f>
        <v>0</v>
      </c>
      <c r="P1427" s="672"/>
      <c r="Q1427" s="729" t="e">
        <f>IF(O1427="",0,P1427*L1427/'9b-Vloeronderhoud'!$F$6)</f>
        <v>#DIV/0!</v>
      </c>
      <c r="R1427" s="449">
        <v>1</v>
      </c>
      <c r="S1427" s="672" t="s">
        <v>179</v>
      </c>
      <c r="T1427" s="161">
        <f t="shared" si="116"/>
        <v>0</v>
      </c>
      <c r="U1427" s="162">
        <f>IF(S1427="nio",0,IF(S1427&gt;0,VLOOKUP(G1427,'3-Productie normen'!A:K,VLOOKUP(S1427,'3-Productie normen'!L:N,3,FALSE),FALSE)))</f>
        <v>0</v>
      </c>
      <c r="V1427" s="162">
        <f>VLOOKUP(G1427,'3-Productie normen'!A:K,10,FALSE)</f>
        <v>5262.809993648526</v>
      </c>
      <c r="W1427" s="163">
        <f>VLOOKUP(G1427,'3-Productie normen'!A:K,11,FALSE)</f>
        <v>0</v>
      </c>
      <c r="X1427" s="163"/>
      <c r="Z1427" s="129">
        <f t="shared" si="117"/>
        <v>0</v>
      </c>
    </row>
    <row r="1428" spans="1:26" ht="14.1" customHeight="1">
      <c r="A1428" s="144">
        <v>1466</v>
      </c>
      <c r="B1428" s="525" t="s">
        <v>261</v>
      </c>
      <c r="C1428" s="160" t="s">
        <v>542</v>
      </c>
      <c r="D1428" s="493" t="s">
        <v>98</v>
      </c>
      <c r="E1428" s="702" t="s">
        <v>418</v>
      </c>
      <c r="F1428" s="494" t="s">
        <v>302</v>
      </c>
      <c r="G1428" s="460" t="s">
        <v>18</v>
      </c>
      <c r="H1428" s="303" t="s">
        <v>955</v>
      </c>
      <c r="I1428" s="582" t="str">
        <f>VLOOKUP(H1428,'9a-Typen vloeren'!$A$10:$B$40,2,FALSE)</f>
        <v>zie kwaliteitsontwerp</v>
      </c>
      <c r="J1428" s="586">
        <v>3</v>
      </c>
      <c r="K1428" s="433">
        <f t="shared" si="118"/>
        <v>0</v>
      </c>
      <c r="L1428" s="433">
        <f t="shared" si="119"/>
        <v>0</v>
      </c>
      <c r="M1428" s="433">
        <f t="shared" si="120"/>
        <v>0</v>
      </c>
      <c r="N1428" s="672"/>
      <c r="O1428" s="729">
        <f>IF(N1428="",0,N1428*K1428/'9b-Vloeronderhoud'!$F$4)</f>
        <v>0</v>
      </c>
      <c r="P1428" s="672"/>
      <c r="Q1428" s="729" t="e">
        <f>IF(O1428="",0,P1428*L1428/'9b-Vloeronderhoud'!$F$6)</f>
        <v>#DIV/0!</v>
      </c>
      <c r="R1428" s="449">
        <v>1</v>
      </c>
      <c r="S1428" s="672">
        <v>190</v>
      </c>
      <c r="T1428" s="161" t="e">
        <f t="shared" si="116"/>
        <v>#DIV/0!</v>
      </c>
      <c r="U1428" s="162">
        <f>IF(S1428="nio",0,IF(S1428&gt;0,VLOOKUP(G1428,'3-Productie normen'!A:K,VLOOKUP(S1428,'3-Productie normen'!L:N,3,FALSE),FALSE)))</f>
        <v>0</v>
      </c>
      <c r="V1428" s="162">
        <f>VLOOKUP(G1428,'3-Productie normen'!A:K,10,FALSE)</f>
        <v>1859.5880019121171</v>
      </c>
      <c r="W1428" s="163">
        <f>VLOOKUP(G1428,'3-Productie normen'!A:K,11,FALSE)</f>
        <v>0</v>
      </c>
      <c r="X1428" s="163"/>
      <c r="Z1428" s="129">
        <f t="shared" si="117"/>
        <v>570</v>
      </c>
    </row>
    <row r="1429" spans="1:26" ht="14.1" customHeight="1">
      <c r="A1429" s="144">
        <v>1467</v>
      </c>
      <c r="B1429" s="525" t="s">
        <v>261</v>
      </c>
      <c r="C1429" s="160" t="s">
        <v>542</v>
      </c>
      <c r="D1429" s="493" t="s">
        <v>98</v>
      </c>
      <c r="E1429" s="702" t="s">
        <v>521</v>
      </c>
      <c r="F1429" s="494" t="s">
        <v>313</v>
      </c>
      <c r="G1429" s="460" t="s">
        <v>881</v>
      </c>
      <c r="H1429" s="492" t="s">
        <v>375</v>
      </c>
      <c r="I1429" s="582" t="str">
        <f>VLOOKUP(H1429,'9a-Typen vloeren'!$A$10:$B$40,2,FALSE)</f>
        <v>n.v.t.</v>
      </c>
      <c r="J1429" s="586">
        <v>4.3000001907348633</v>
      </c>
      <c r="K1429" s="433">
        <f t="shared" si="118"/>
        <v>0</v>
      </c>
      <c r="L1429" s="433">
        <f t="shared" si="119"/>
        <v>0</v>
      </c>
      <c r="M1429" s="433">
        <f t="shared" si="120"/>
        <v>0</v>
      </c>
      <c r="N1429" s="672"/>
      <c r="O1429" s="729">
        <f>IF(N1429="",0,N1429*K1429/'9b-Vloeronderhoud'!$F$4)</f>
        <v>0</v>
      </c>
      <c r="P1429" s="672"/>
      <c r="Q1429" s="729" t="e">
        <f>IF(O1429="",0,P1429*L1429/'9b-Vloeronderhoud'!$F$6)</f>
        <v>#DIV/0!</v>
      </c>
      <c r="R1429" s="449">
        <v>1</v>
      </c>
      <c r="S1429" s="672" t="s">
        <v>179</v>
      </c>
      <c r="T1429" s="161">
        <f t="shared" si="116"/>
        <v>0</v>
      </c>
      <c r="U1429" s="162">
        <f>IF(S1429="nio",0,IF(S1429&gt;0,VLOOKUP(G1429,'3-Productie normen'!A:K,VLOOKUP(S1429,'3-Productie normen'!L:N,3,FALSE),FALSE)))</f>
        <v>0</v>
      </c>
      <c r="V1429" s="162">
        <f>VLOOKUP(G1429,'3-Productie normen'!A:K,10,FALSE)</f>
        <v>5262.809993648526</v>
      </c>
      <c r="W1429" s="163">
        <f>VLOOKUP(G1429,'3-Productie normen'!A:K,11,FALSE)</f>
        <v>0</v>
      </c>
      <c r="X1429" s="163"/>
      <c r="Z1429" s="129">
        <f t="shared" si="117"/>
        <v>0</v>
      </c>
    </row>
    <row r="1430" spans="1:26" ht="14.1" customHeight="1">
      <c r="A1430" s="144">
        <v>1468</v>
      </c>
      <c r="B1430" s="525" t="s">
        <v>261</v>
      </c>
      <c r="C1430" s="160" t="s">
        <v>542</v>
      </c>
      <c r="D1430" s="493" t="s">
        <v>98</v>
      </c>
      <c r="E1430" s="702" t="s">
        <v>522</v>
      </c>
      <c r="F1430" s="494" t="s">
        <v>347</v>
      </c>
      <c r="G1430" s="502" t="s">
        <v>347</v>
      </c>
      <c r="H1430" s="492" t="s">
        <v>545</v>
      </c>
      <c r="I1430" s="582" t="str">
        <f>VLOOKUP(H1430,'9a-Typen vloeren'!$A$10:$B$40,2,FALSE)</f>
        <v>Schrobben</v>
      </c>
      <c r="J1430" s="586">
        <v>52.900001525878906</v>
      </c>
      <c r="K1430" s="433">
        <f t="shared" si="118"/>
        <v>0</v>
      </c>
      <c r="L1430" s="433">
        <f t="shared" si="119"/>
        <v>52.900001525878906</v>
      </c>
      <c r="M1430" s="433">
        <f t="shared" si="120"/>
        <v>0</v>
      </c>
      <c r="N1430" s="672"/>
      <c r="O1430" s="729">
        <f>IF(N1430="",0,N1430*K1430/'9b-Vloeronderhoud'!$F$4)</f>
        <v>0</v>
      </c>
      <c r="P1430" s="672">
        <v>3</v>
      </c>
      <c r="Q1430" s="729" t="e">
        <f>IF(O1430="",0,P1430*L1430/'9b-Vloeronderhoud'!$F$6)</f>
        <v>#DIV/0!</v>
      </c>
      <c r="R1430" s="449">
        <v>1</v>
      </c>
      <c r="S1430" s="672">
        <v>44</v>
      </c>
      <c r="T1430" s="161" t="e">
        <f t="shared" si="116"/>
        <v>#DIV/0!</v>
      </c>
      <c r="U1430" s="162">
        <f>IF(S1430="nio",0,IF(S1430&gt;0,VLOOKUP(G1430,'3-Productie normen'!A:K,VLOOKUP(S1430,'3-Productie normen'!L:N,3,FALSE),FALSE)))</f>
        <v>0</v>
      </c>
      <c r="V1430" s="162">
        <f>VLOOKUP(G1430,'3-Productie normen'!A:K,10,FALSE)</f>
        <v>1134.6299961853026</v>
      </c>
      <c r="W1430" s="163">
        <f>VLOOKUP(G1430,'3-Productie normen'!A:K,11,FALSE)</f>
        <v>0</v>
      </c>
      <c r="X1430" s="163"/>
      <c r="Z1430" s="129">
        <f t="shared" si="117"/>
        <v>2327.6000671386719</v>
      </c>
    </row>
    <row r="1431" spans="1:26" ht="14.1" customHeight="1">
      <c r="A1431" s="144">
        <v>1469</v>
      </c>
      <c r="B1431" s="525" t="s">
        <v>261</v>
      </c>
      <c r="C1431" s="160" t="s">
        <v>542</v>
      </c>
      <c r="D1431" s="493" t="s">
        <v>98</v>
      </c>
      <c r="E1431" s="702" t="s">
        <v>523</v>
      </c>
      <c r="F1431" s="494" t="s">
        <v>282</v>
      </c>
      <c r="G1431" s="460" t="s">
        <v>881</v>
      </c>
      <c r="H1431" s="492" t="s">
        <v>545</v>
      </c>
      <c r="I1431" s="582" t="str">
        <f>VLOOKUP(H1431,'9a-Typen vloeren'!$A$10:$B$40,2,FALSE)</f>
        <v>Schrobben</v>
      </c>
      <c r="J1431" s="586">
        <v>4.3000001907348633</v>
      </c>
      <c r="K1431" s="433">
        <f t="shared" si="118"/>
        <v>0</v>
      </c>
      <c r="L1431" s="433">
        <f t="shared" si="119"/>
        <v>0</v>
      </c>
      <c r="M1431" s="433">
        <f t="shared" si="120"/>
        <v>0</v>
      </c>
      <c r="N1431" s="672"/>
      <c r="O1431" s="729">
        <f>IF(N1431="",0,N1431*K1431/'9b-Vloeronderhoud'!$F$4)</f>
        <v>0</v>
      </c>
      <c r="P1431" s="672"/>
      <c r="Q1431" s="729" t="e">
        <f>IF(O1431="",0,P1431*L1431/'9b-Vloeronderhoud'!$F$6)</f>
        <v>#DIV/0!</v>
      </c>
      <c r="R1431" s="449">
        <v>1</v>
      </c>
      <c r="S1431" s="672" t="s">
        <v>179</v>
      </c>
      <c r="T1431" s="161">
        <f t="shared" si="116"/>
        <v>0</v>
      </c>
      <c r="U1431" s="162">
        <f>IF(S1431="nio",0,IF(S1431&gt;0,VLOOKUP(G1431,'3-Productie normen'!A:K,VLOOKUP(S1431,'3-Productie normen'!L:N,3,FALSE),FALSE)))</f>
        <v>0</v>
      </c>
      <c r="V1431" s="162">
        <f>VLOOKUP(G1431,'3-Productie normen'!A:K,10,FALSE)</f>
        <v>5262.809993648526</v>
      </c>
      <c r="W1431" s="163">
        <f>VLOOKUP(G1431,'3-Productie normen'!A:K,11,FALSE)</f>
        <v>0</v>
      </c>
      <c r="X1431" s="163"/>
      <c r="Z1431" s="129">
        <f t="shared" si="117"/>
        <v>0</v>
      </c>
    </row>
    <row r="1432" spans="1:26" ht="14.1" customHeight="1">
      <c r="A1432" s="144">
        <v>1470</v>
      </c>
      <c r="B1432" s="525" t="s">
        <v>261</v>
      </c>
      <c r="C1432" s="160" t="s">
        <v>542</v>
      </c>
      <c r="D1432" s="493" t="s">
        <v>98</v>
      </c>
      <c r="E1432" s="702" t="s">
        <v>524</v>
      </c>
      <c r="F1432" s="126" t="s">
        <v>302</v>
      </c>
      <c r="G1432" s="303" t="s">
        <v>18</v>
      </c>
      <c r="H1432" s="303" t="s">
        <v>955</v>
      </c>
      <c r="I1432" s="582" t="str">
        <f>VLOOKUP(H1432,'9a-Typen vloeren'!$A$10:$B$40,2,FALSE)</f>
        <v>zie kwaliteitsontwerp</v>
      </c>
      <c r="J1432" s="586">
        <v>4.3000001907348633</v>
      </c>
      <c r="K1432" s="433">
        <f t="shared" si="118"/>
        <v>0</v>
      </c>
      <c r="L1432" s="433">
        <f t="shared" si="119"/>
        <v>0</v>
      </c>
      <c r="M1432" s="433">
        <f t="shared" si="120"/>
        <v>0</v>
      </c>
      <c r="N1432" s="672"/>
      <c r="O1432" s="729">
        <f>IF(N1432="",0,N1432*K1432/'9b-Vloeronderhoud'!$F$4)</f>
        <v>0</v>
      </c>
      <c r="P1432" s="672"/>
      <c r="Q1432" s="729" t="e">
        <f>IF(O1432="",0,P1432*L1432/'9b-Vloeronderhoud'!$F$6)</f>
        <v>#DIV/0!</v>
      </c>
      <c r="R1432" s="449">
        <v>1</v>
      </c>
      <c r="S1432" s="672">
        <v>190</v>
      </c>
      <c r="T1432" s="161" t="e">
        <f t="shared" si="116"/>
        <v>#DIV/0!</v>
      </c>
      <c r="U1432" s="162">
        <f>IF(S1432="nio",0,IF(S1432&gt;0,VLOOKUP(G1432,'3-Productie normen'!A:K,VLOOKUP(S1432,'3-Productie normen'!L:N,3,FALSE),FALSE)))</f>
        <v>0</v>
      </c>
      <c r="V1432" s="162">
        <f>VLOOKUP(G1432,'3-Productie normen'!A:K,10,FALSE)</f>
        <v>1859.5880019121171</v>
      </c>
      <c r="W1432" s="163">
        <f>VLOOKUP(G1432,'3-Productie normen'!A:K,11,FALSE)</f>
        <v>0</v>
      </c>
      <c r="X1432" s="163"/>
      <c r="Z1432" s="129">
        <f t="shared" si="117"/>
        <v>817.00003623962402</v>
      </c>
    </row>
    <row r="1433" spans="1:26" ht="14.1" customHeight="1">
      <c r="A1433" s="144">
        <v>1471</v>
      </c>
      <c r="B1433" s="525" t="s">
        <v>261</v>
      </c>
      <c r="C1433" s="160" t="s">
        <v>542</v>
      </c>
      <c r="D1433" s="132" t="s">
        <v>98</v>
      </c>
      <c r="E1433" s="702" t="s">
        <v>538</v>
      </c>
      <c r="F1433" s="494" t="s">
        <v>99</v>
      </c>
      <c r="G1433" s="460" t="s">
        <v>99</v>
      </c>
      <c r="H1433" s="303" t="s">
        <v>332</v>
      </c>
      <c r="I1433" s="582" t="str">
        <f>VLOOKUP(H1433,'9a-Typen vloeren'!$A$10:$B$40,2,FALSE)</f>
        <v>Sproei/extraheren</v>
      </c>
      <c r="J1433" s="586">
        <v>3.4500000476837158</v>
      </c>
      <c r="K1433" s="433">
        <f t="shared" si="118"/>
        <v>0</v>
      </c>
      <c r="L1433" s="433">
        <f t="shared" si="119"/>
        <v>0</v>
      </c>
      <c r="M1433" s="433">
        <f t="shared" si="120"/>
        <v>3.4500000476837158</v>
      </c>
      <c r="N1433" s="672"/>
      <c r="O1433" s="729">
        <f>IF(N1433="",0,N1433*K1433/'9b-Vloeronderhoud'!$F$4)</f>
        <v>0</v>
      </c>
      <c r="P1433" s="672"/>
      <c r="Q1433" s="729" t="e">
        <f>IF(O1433="",0,P1433*L1433/'9b-Vloeronderhoud'!$F$6)</f>
        <v>#DIV/0!</v>
      </c>
      <c r="R1433" s="449">
        <v>1</v>
      </c>
      <c r="S1433" s="672">
        <v>190</v>
      </c>
      <c r="T1433" s="161" t="e">
        <f t="shared" si="116"/>
        <v>#DIV/0!</v>
      </c>
      <c r="U1433" s="162">
        <f>IF(S1433="nio",0,IF(S1433&gt;0,VLOOKUP(G1433,'3-Productie normen'!A:K,VLOOKUP(S1433,'3-Productie normen'!L:N,3,FALSE),FALSE)))</f>
        <v>0</v>
      </c>
      <c r="V1433" s="162">
        <f>VLOOKUP(G1433,'3-Productie normen'!A:K,10,FALSE)</f>
        <v>726.97999910354622</v>
      </c>
      <c r="W1433" s="163">
        <f>VLOOKUP(G1433,'3-Productie normen'!A:K,11,FALSE)</f>
        <v>0</v>
      </c>
      <c r="X1433" s="163"/>
      <c r="Z1433" s="129">
        <f t="shared" si="117"/>
        <v>655.50000905990601</v>
      </c>
    </row>
    <row r="1434" spans="1:26" ht="14.1" customHeight="1">
      <c r="A1434" s="144">
        <v>1472</v>
      </c>
      <c r="B1434" s="525" t="s">
        <v>261</v>
      </c>
      <c r="C1434" s="160" t="s">
        <v>542</v>
      </c>
      <c r="D1434" s="132" t="s">
        <v>98</v>
      </c>
      <c r="E1434" s="702" t="s">
        <v>525</v>
      </c>
      <c r="F1434" s="494" t="s">
        <v>302</v>
      </c>
      <c r="G1434" s="492" t="s">
        <v>18</v>
      </c>
      <c r="H1434" s="303" t="s">
        <v>955</v>
      </c>
      <c r="I1434" s="582" t="str">
        <f>VLOOKUP(H1434,'9a-Typen vloeren'!$A$10:$B$40,2,FALSE)</f>
        <v>zie kwaliteitsontwerp</v>
      </c>
      <c r="J1434" s="586">
        <v>4.3000001907348633</v>
      </c>
      <c r="K1434" s="433">
        <f t="shared" si="118"/>
        <v>0</v>
      </c>
      <c r="L1434" s="433">
        <f t="shared" si="119"/>
        <v>0</v>
      </c>
      <c r="M1434" s="433">
        <f t="shared" si="120"/>
        <v>0</v>
      </c>
      <c r="N1434" s="672"/>
      <c r="O1434" s="729">
        <f>IF(N1434="",0,N1434*K1434/'9b-Vloeronderhoud'!$F$4)</f>
        <v>0</v>
      </c>
      <c r="P1434" s="672"/>
      <c r="Q1434" s="729" t="e">
        <f>IF(O1434="",0,P1434*L1434/'9b-Vloeronderhoud'!$F$6)</f>
        <v>#DIV/0!</v>
      </c>
      <c r="R1434" s="449">
        <v>1</v>
      </c>
      <c r="S1434" s="672">
        <v>190</v>
      </c>
      <c r="T1434" s="161" t="e">
        <f t="shared" si="116"/>
        <v>#DIV/0!</v>
      </c>
      <c r="U1434" s="162">
        <f>IF(S1434="nio",0,IF(S1434&gt;0,VLOOKUP(G1434,'3-Productie normen'!A:K,VLOOKUP(S1434,'3-Productie normen'!L:N,3,FALSE),FALSE)))</f>
        <v>0</v>
      </c>
      <c r="V1434" s="162">
        <f>VLOOKUP(G1434,'3-Productie normen'!A:K,10,FALSE)</f>
        <v>1859.5880019121171</v>
      </c>
      <c r="W1434" s="163">
        <f>VLOOKUP(G1434,'3-Productie normen'!A:K,11,FALSE)</f>
        <v>0</v>
      </c>
      <c r="X1434" s="163"/>
      <c r="Z1434" s="129">
        <f t="shared" si="117"/>
        <v>817.00003623962402</v>
      </c>
    </row>
    <row r="1435" spans="1:26" ht="14.1" customHeight="1">
      <c r="A1435" s="144">
        <v>1473</v>
      </c>
      <c r="B1435" s="525" t="s">
        <v>261</v>
      </c>
      <c r="C1435" s="160" t="s">
        <v>542</v>
      </c>
      <c r="D1435" s="132" t="s">
        <v>98</v>
      </c>
      <c r="E1435" s="702" t="s">
        <v>539</v>
      </c>
      <c r="F1435" s="494" t="s">
        <v>302</v>
      </c>
      <c r="G1435" s="533" t="s">
        <v>18</v>
      </c>
      <c r="H1435" s="303" t="s">
        <v>955</v>
      </c>
      <c r="I1435" s="582" t="str">
        <f>VLOOKUP(H1435,'9a-Typen vloeren'!$A$10:$B$40,2,FALSE)</f>
        <v>zie kwaliteitsontwerp</v>
      </c>
      <c r="J1435" s="586">
        <v>4.3000001907348633</v>
      </c>
      <c r="K1435" s="433">
        <f t="shared" si="118"/>
        <v>0</v>
      </c>
      <c r="L1435" s="433">
        <f t="shared" si="119"/>
        <v>0</v>
      </c>
      <c r="M1435" s="433">
        <f t="shared" si="120"/>
        <v>0</v>
      </c>
      <c r="N1435" s="672"/>
      <c r="O1435" s="729">
        <f>IF(N1435="",0,N1435*K1435/'9b-Vloeronderhoud'!$F$4)</f>
        <v>0</v>
      </c>
      <c r="P1435" s="672"/>
      <c r="Q1435" s="729" t="e">
        <f>IF(O1435="",0,P1435*L1435/'9b-Vloeronderhoud'!$F$6)</f>
        <v>#DIV/0!</v>
      </c>
      <c r="R1435" s="449">
        <v>1</v>
      </c>
      <c r="S1435" s="672">
        <v>190</v>
      </c>
      <c r="T1435" s="161" t="e">
        <f t="shared" si="116"/>
        <v>#DIV/0!</v>
      </c>
      <c r="U1435" s="162">
        <f>IF(S1435="nio",0,IF(S1435&gt;0,VLOOKUP(G1435,'3-Productie normen'!A:K,VLOOKUP(S1435,'3-Productie normen'!L:N,3,FALSE),FALSE)))</f>
        <v>0</v>
      </c>
      <c r="V1435" s="162">
        <f>VLOOKUP(G1435,'3-Productie normen'!A:K,10,FALSE)</f>
        <v>1859.5880019121171</v>
      </c>
      <c r="W1435" s="163">
        <f>VLOOKUP(G1435,'3-Productie normen'!A:K,11,FALSE)</f>
        <v>0</v>
      </c>
      <c r="X1435" s="163"/>
      <c r="Z1435" s="129">
        <f t="shared" si="117"/>
        <v>817.00003623962402</v>
      </c>
    </row>
    <row r="1436" spans="1:26" ht="14.1" customHeight="1">
      <c r="A1436" s="144">
        <v>1474</v>
      </c>
      <c r="B1436" s="525" t="s">
        <v>261</v>
      </c>
      <c r="C1436" s="160" t="s">
        <v>542</v>
      </c>
      <c r="D1436" s="132" t="s">
        <v>98</v>
      </c>
      <c r="E1436" s="702" t="s">
        <v>527</v>
      </c>
      <c r="F1436" s="494" t="s">
        <v>391</v>
      </c>
      <c r="G1436" s="460" t="s">
        <v>881</v>
      </c>
      <c r="H1436" s="492" t="s">
        <v>100</v>
      </c>
      <c r="I1436" s="582" t="str">
        <f>VLOOKUP(H1436,'9a-Typen vloeren'!$A$10:$B$40,2,FALSE)</f>
        <v>Sprayen/ conserveren</v>
      </c>
      <c r="J1436" s="586">
        <v>5.4000000953674316</v>
      </c>
      <c r="K1436" s="433">
        <f t="shared" si="118"/>
        <v>0</v>
      </c>
      <c r="L1436" s="433">
        <f t="shared" si="119"/>
        <v>0</v>
      </c>
      <c r="M1436" s="433">
        <f t="shared" si="120"/>
        <v>0</v>
      </c>
      <c r="N1436" s="672"/>
      <c r="O1436" s="729">
        <f>IF(N1436="",0,N1436*K1436/'9b-Vloeronderhoud'!$F$4)</f>
        <v>0</v>
      </c>
      <c r="P1436" s="672"/>
      <c r="Q1436" s="729" t="e">
        <f>IF(O1436="",0,P1436*L1436/'9b-Vloeronderhoud'!$F$6)</f>
        <v>#DIV/0!</v>
      </c>
      <c r="R1436" s="449">
        <v>1</v>
      </c>
      <c r="S1436" s="672" t="s">
        <v>179</v>
      </c>
      <c r="T1436" s="161">
        <f t="shared" si="116"/>
        <v>0</v>
      </c>
      <c r="U1436" s="162">
        <f>IF(S1436="nio",0,IF(S1436&gt;0,VLOOKUP(G1436,'3-Productie normen'!A:K,VLOOKUP(S1436,'3-Productie normen'!L:N,3,FALSE),FALSE)))</f>
        <v>0</v>
      </c>
      <c r="V1436" s="162">
        <f>VLOOKUP(G1436,'3-Productie normen'!A:K,10,FALSE)</f>
        <v>5262.809993648526</v>
      </c>
      <c r="W1436" s="163">
        <f>VLOOKUP(G1436,'3-Productie normen'!A:K,11,FALSE)</f>
        <v>0</v>
      </c>
      <c r="X1436" s="163"/>
      <c r="Z1436" s="129">
        <f t="shared" si="117"/>
        <v>0</v>
      </c>
    </row>
    <row r="1437" spans="1:26" ht="14.1" customHeight="1">
      <c r="A1437" s="144">
        <v>1475</v>
      </c>
      <c r="B1437" s="525" t="s">
        <v>261</v>
      </c>
      <c r="C1437" s="160" t="s">
        <v>542</v>
      </c>
      <c r="D1437" s="132" t="s">
        <v>98</v>
      </c>
      <c r="E1437" s="702" t="s">
        <v>528</v>
      </c>
      <c r="F1437" s="494" t="s">
        <v>350</v>
      </c>
      <c r="G1437" s="460" t="s">
        <v>299</v>
      </c>
      <c r="H1437" s="303" t="s">
        <v>332</v>
      </c>
      <c r="I1437" s="582" t="str">
        <f>VLOOKUP(H1437,'9a-Typen vloeren'!$A$10:$B$40,2,FALSE)</f>
        <v>Sproei/extraheren</v>
      </c>
      <c r="J1437" s="586">
        <v>53.049999237060547</v>
      </c>
      <c r="K1437" s="433">
        <f t="shared" si="118"/>
        <v>0</v>
      </c>
      <c r="L1437" s="433">
        <f t="shared" si="119"/>
        <v>0</v>
      </c>
      <c r="M1437" s="433">
        <f t="shared" si="120"/>
        <v>53.049999237060547</v>
      </c>
      <c r="N1437" s="672"/>
      <c r="O1437" s="729">
        <f>IF(N1437="",0,N1437*K1437/'9b-Vloeronderhoud'!$F$4)</f>
        <v>0</v>
      </c>
      <c r="P1437" s="672"/>
      <c r="Q1437" s="729" t="e">
        <f>IF(O1437="",0,P1437*L1437/'9b-Vloeronderhoud'!$F$6)</f>
        <v>#DIV/0!</v>
      </c>
      <c r="R1437" s="449">
        <v>1</v>
      </c>
      <c r="S1437" s="672">
        <v>40</v>
      </c>
      <c r="T1437" s="161" t="e">
        <f t="shared" si="116"/>
        <v>#DIV/0!</v>
      </c>
      <c r="U1437" s="162">
        <f>IF(S1437="nio",0,IF(S1437&gt;0,VLOOKUP(G1437,'3-Productie normen'!A:K,VLOOKUP(S1437,'3-Productie normen'!L:N,3,FALSE),FALSE)))</f>
        <v>0</v>
      </c>
      <c r="V1437" s="162">
        <f>VLOOKUP(G1437,'3-Productie normen'!A:K,10,FALSE)</f>
        <v>1107.9100014114381</v>
      </c>
      <c r="W1437" s="163">
        <f>VLOOKUP(G1437,'3-Productie normen'!A:K,11,FALSE)</f>
        <v>0</v>
      </c>
      <c r="X1437" s="163"/>
      <c r="Z1437" s="129">
        <f t="shared" si="117"/>
        <v>2121.9999694824219</v>
      </c>
    </row>
    <row r="1438" spans="1:26" ht="14.1" customHeight="1">
      <c r="A1438" s="144">
        <v>1476</v>
      </c>
      <c r="B1438" s="525" t="s">
        <v>261</v>
      </c>
      <c r="C1438" s="160" t="s">
        <v>542</v>
      </c>
      <c r="D1438" s="132" t="s">
        <v>98</v>
      </c>
      <c r="E1438" s="702" t="s">
        <v>509</v>
      </c>
      <c r="F1438" s="494" t="s">
        <v>582</v>
      </c>
      <c r="G1438" s="533" t="s">
        <v>189</v>
      </c>
      <c r="H1438" s="492" t="s">
        <v>100</v>
      </c>
      <c r="I1438" s="582" t="str">
        <f>VLOOKUP(H1438,'9a-Typen vloeren'!$A$10:$B$40,2,FALSE)</f>
        <v>Sprayen/ conserveren</v>
      </c>
      <c r="J1438" s="586">
        <v>33.75</v>
      </c>
      <c r="K1438" s="433">
        <f t="shared" si="118"/>
        <v>33.75</v>
      </c>
      <c r="L1438" s="433">
        <f t="shared" si="119"/>
        <v>0</v>
      </c>
      <c r="M1438" s="433">
        <f t="shared" si="120"/>
        <v>0</v>
      </c>
      <c r="N1438" s="672"/>
      <c r="O1438" s="729">
        <f>IF(N1438="",0,N1438*K1438/'9b-Vloeronderhoud'!$F$4)</f>
        <v>0</v>
      </c>
      <c r="P1438" s="672"/>
      <c r="Q1438" s="729" t="e">
        <f>IF(O1438="",0,P1438*L1438/'9b-Vloeronderhoud'!$F$6)</f>
        <v>#DIV/0!</v>
      </c>
      <c r="R1438" s="449">
        <v>1</v>
      </c>
      <c r="S1438" s="672">
        <v>40</v>
      </c>
      <c r="T1438" s="161" t="e">
        <f t="shared" si="116"/>
        <v>#DIV/0!</v>
      </c>
      <c r="U1438" s="162">
        <f>IF(S1438="nio",0,IF(S1438&gt;0,VLOOKUP(G1438,'3-Productie normen'!A:K,VLOOKUP(S1438,'3-Productie normen'!L:N,3,FALSE),FALSE)))</f>
        <v>0</v>
      </c>
      <c r="V1438" s="162">
        <f>VLOOKUP(G1438,'3-Productie normen'!A:K,10,FALSE)</f>
        <v>1494.1700078582762</v>
      </c>
      <c r="W1438" s="163">
        <f>VLOOKUP(G1438,'3-Productie normen'!A:K,11,FALSE)</f>
        <v>0</v>
      </c>
      <c r="X1438" s="163"/>
      <c r="Z1438" s="129">
        <f t="shared" si="117"/>
        <v>1350</v>
      </c>
    </row>
    <row r="1439" spans="1:26" ht="14.1" customHeight="1">
      <c r="A1439" s="144">
        <v>1477</v>
      </c>
      <c r="B1439" s="525" t="s">
        <v>261</v>
      </c>
      <c r="C1439" s="160" t="s">
        <v>542</v>
      </c>
      <c r="D1439" s="132" t="s">
        <v>98</v>
      </c>
      <c r="E1439" s="702" t="s">
        <v>479</v>
      </c>
      <c r="F1439" s="494" t="s">
        <v>346</v>
      </c>
      <c r="G1439" s="460" t="s">
        <v>881</v>
      </c>
      <c r="H1439" s="492" t="s">
        <v>375</v>
      </c>
      <c r="I1439" s="582" t="str">
        <f>VLOOKUP(H1439,'9a-Typen vloeren'!$A$10:$B$40,2,FALSE)</f>
        <v>n.v.t.</v>
      </c>
      <c r="J1439" s="586">
        <v>4.1999998092651367</v>
      </c>
      <c r="K1439" s="433">
        <f t="shared" si="118"/>
        <v>0</v>
      </c>
      <c r="L1439" s="433">
        <f t="shared" si="119"/>
        <v>0</v>
      </c>
      <c r="M1439" s="433">
        <f t="shared" si="120"/>
        <v>0</v>
      </c>
      <c r="N1439" s="672"/>
      <c r="O1439" s="729">
        <f>IF(N1439="",0,N1439*K1439/'9b-Vloeronderhoud'!$F$4)</f>
        <v>0</v>
      </c>
      <c r="P1439" s="672"/>
      <c r="Q1439" s="729" t="e">
        <f>IF(O1439="",0,P1439*L1439/'9b-Vloeronderhoud'!$F$6)</f>
        <v>#DIV/0!</v>
      </c>
      <c r="R1439" s="449">
        <v>1</v>
      </c>
      <c r="S1439" s="672" t="s">
        <v>179</v>
      </c>
      <c r="T1439" s="161">
        <f t="shared" si="116"/>
        <v>0</v>
      </c>
      <c r="U1439" s="162">
        <f>IF(S1439="nio",0,IF(S1439&gt;0,VLOOKUP(G1439,'3-Productie normen'!A:K,VLOOKUP(S1439,'3-Productie normen'!L:N,3,FALSE),FALSE)))</f>
        <v>0</v>
      </c>
      <c r="V1439" s="162">
        <f>VLOOKUP(G1439,'3-Productie normen'!A:K,10,FALSE)</f>
        <v>5262.809993648526</v>
      </c>
      <c r="W1439" s="163">
        <f>VLOOKUP(G1439,'3-Productie normen'!A:K,11,FALSE)</f>
        <v>0</v>
      </c>
      <c r="X1439" s="163"/>
      <c r="Z1439" s="129">
        <f t="shared" si="117"/>
        <v>0</v>
      </c>
    </row>
    <row r="1440" spans="1:26" ht="14.1" customHeight="1">
      <c r="A1440" s="144">
        <v>1478</v>
      </c>
      <c r="B1440" s="525" t="s">
        <v>261</v>
      </c>
      <c r="C1440" s="160" t="s">
        <v>542</v>
      </c>
      <c r="D1440" s="132">
        <v>1</v>
      </c>
      <c r="E1440" s="702" t="s">
        <v>351</v>
      </c>
      <c r="F1440" s="494" t="s">
        <v>283</v>
      </c>
      <c r="G1440" s="460" t="s">
        <v>286</v>
      </c>
      <c r="H1440" s="492" t="s">
        <v>100</v>
      </c>
      <c r="I1440" s="582" t="str">
        <f>VLOOKUP(H1440,'9a-Typen vloeren'!$A$10:$B$40,2,FALSE)</f>
        <v>Sprayen/ conserveren</v>
      </c>
      <c r="J1440" s="586">
        <v>20</v>
      </c>
      <c r="K1440" s="433">
        <f t="shared" si="118"/>
        <v>20</v>
      </c>
      <c r="L1440" s="433">
        <f t="shared" si="119"/>
        <v>0</v>
      </c>
      <c r="M1440" s="433">
        <f t="shared" si="120"/>
        <v>0</v>
      </c>
      <c r="N1440" s="672">
        <v>2</v>
      </c>
      <c r="O1440" s="729" t="e">
        <f>IF(N1440="",0,N1440*K1440/'9b-Vloeronderhoud'!$F$4)</f>
        <v>#DIV/0!</v>
      </c>
      <c r="P1440" s="672"/>
      <c r="Q1440" s="729" t="e">
        <f>IF(O1440="",0,P1440*L1440/'9b-Vloeronderhoud'!$F$6)</f>
        <v>#DIV/0!</v>
      </c>
      <c r="R1440" s="449">
        <v>1</v>
      </c>
      <c r="S1440" s="672">
        <v>120</v>
      </c>
      <c r="T1440" s="161" t="e">
        <f t="shared" si="116"/>
        <v>#DIV/0!</v>
      </c>
      <c r="U1440" s="162">
        <f>IF(S1440="nio",0,IF(S1440&gt;0,VLOOKUP(G1440,'3-Productie normen'!A:K,VLOOKUP(S1440,'3-Productie normen'!L:N,3,FALSE),FALSE)))</f>
        <v>0</v>
      </c>
      <c r="V1440" s="162">
        <f>VLOOKUP(G1440,'3-Productie normen'!A:K,10,FALSE)</f>
        <v>6152.9500017547598</v>
      </c>
      <c r="W1440" s="163">
        <f>VLOOKUP(G1440,'3-Productie normen'!A:K,11,FALSE)</f>
        <v>0</v>
      </c>
      <c r="X1440" s="163"/>
      <c r="Z1440" s="129">
        <f t="shared" si="117"/>
        <v>2400</v>
      </c>
    </row>
    <row r="1441" spans="1:26" ht="14.1" customHeight="1">
      <c r="A1441" s="144">
        <v>1479</v>
      </c>
      <c r="B1441" s="525" t="s">
        <v>261</v>
      </c>
      <c r="C1441" s="160" t="s">
        <v>542</v>
      </c>
      <c r="D1441" s="132">
        <v>1</v>
      </c>
      <c r="E1441" s="702" t="s">
        <v>352</v>
      </c>
      <c r="F1441" s="494" t="s">
        <v>221</v>
      </c>
      <c r="G1441" s="552" t="s">
        <v>221</v>
      </c>
      <c r="H1441" s="492" t="s">
        <v>100</v>
      </c>
      <c r="I1441" s="582" t="str">
        <f>VLOOKUP(H1441,'9a-Typen vloeren'!$A$10:$B$40,2,FALSE)</f>
        <v>Sprayen/ conserveren</v>
      </c>
      <c r="J1441" s="586">
        <v>54.349998474121094</v>
      </c>
      <c r="K1441" s="433">
        <f t="shared" si="118"/>
        <v>54.349998474121094</v>
      </c>
      <c r="L1441" s="433">
        <f t="shared" si="119"/>
        <v>0</v>
      </c>
      <c r="M1441" s="433">
        <f t="shared" si="120"/>
        <v>0</v>
      </c>
      <c r="N1441" s="672"/>
      <c r="O1441" s="729">
        <f>IF(N1441="",0,N1441*K1441/'9b-Vloeronderhoud'!$F$4)</f>
        <v>0</v>
      </c>
      <c r="P1441" s="672"/>
      <c r="Q1441" s="729" t="e">
        <f>IF(O1441="",0,P1441*L1441/'9b-Vloeronderhoud'!$F$6)</f>
        <v>#DIV/0!</v>
      </c>
      <c r="R1441" s="449">
        <v>1</v>
      </c>
      <c r="S1441" s="672">
        <v>80</v>
      </c>
      <c r="T1441" s="161" t="e">
        <f t="shared" si="116"/>
        <v>#DIV/0!</v>
      </c>
      <c r="U1441" s="162">
        <f>IF(S1441="nio",0,IF(S1441&gt;0,VLOOKUP(G1441,'3-Productie normen'!A:K,VLOOKUP(S1441,'3-Productie normen'!L:N,3,FALSE),FALSE)))</f>
        <v>0</v>
      </c>
      <c r="V1441" s="162">
        <f>VLOOKUP(G1441,'3-Productie normen'!A:K,10,FALSE)</f>
        <v>16013.110036668773</v>
      </c>
      <c r="W1441" s="163">
        <f>VLOOKUP(G1441,'3-Productie normen'!A:K,11,FALSE)</f>
        <v>0</v>
      </c>
      <c r="X1441" s="163"/>
      <c r="Z1441" s="129">
        <f t="shared" si="117"/>
        <v>4347.9998779296875</v>
      </c>
    </row>
    <row r="1442" spans="1:26" ht="14.1" customHeight="1">
      <c r="A1442" s="144">
        <v>1480</v>
      </c>
      <c r="B1442" s="525" t="s">
        <v>261</v>
      </c>
      <c r="C1442" s="160" t="s">
        <v>542</v>
      </c>
      <c r="D1442" s="132">
        <v>1</v>
      </c>
      <c r="E1442" s="702" t="s">
        <v>354</v>
      </c>
      <c r="F1442" s="494" t="s">
        <v>221</v>
      </c>
      <c r="G1442" s="126" t="s">
        <v>221</v>
      </c>
      <c r="H1442" s="492" t="s">
        <v>100</v>
      </c>
      <c r="I1442" s="582" t="str">
        <f>VLOOKUP(H1442,'9a-Typen vloeren'!$A$10:$B$40,2,FALSE)</f>
        <v>Sprayen/ conserveren</v>
      </c>
      <c r="J1442" s="586">
        <v>46.450000762939453</v>
      </c>
      <c r="K1442" s="433">
        <f t="shared" si="118"/>
        <v>46.450000762939453</v>
      </c>
      <c r="L1442" s="433">
        <f t="shared" si="119"/>
        <v>0</v>
      </c>
      <c r="M1442" s="433">
        <f t="shared" si="120"/>
        <v>0</v>
      </c>
      <c r="N1442" s="672"/>
      <c r="O1442" s="729">
        <f>IF(N1442="",0,N1442*K1442/'9b-Vloeronderhoud'!$F$4)</f>
        <v>0</v>
      </c>
      <c r="P1442" s="672"/>
      <c r="Q1442" s="729" t="e">
        <f>IF(O1442="",0,P1442*L1442/'9b-Vloeronderhoud'!$F$6)</f>
        <v>#DIV/0!</v>
      </c>
      <c r="R1442" s="449">
        <v>1</v>
      </c>
      <c r="S1442" s="688" t="s">
        <v>179</v>
      </c>
      <c r="T1442" s="161">
        <f t="shared" si="116"/>
        <v>0</v>
      </c>
      <c r="U1442" s="162">
        <f>IF(S1442="nio",0,IF(S1442&gt;0,VLOOKUP(G1442,'3-Productie normen'!A:K,VLOOKUP(S1442,'3-Productie normen'!L:N,3,FALSE),FALSE)))</f>
        <v>0</v>
      </c>
      <c r="V1442" s="162">
        <f>VLOOKUP(G1442,'3-Productie normen'!A:K,10,FALSE)</f>
        <v>16013.110036668773</v>
      </c>
      <c r="W1442" s="163">
        <f>VLOOKUP(G1442,'3-Productie normen'!A:K,11,FALSE)</f>
        <v>0</v>
      </c>
      <c r="X1442" s="163"/>
      <c r="Z1442" s="129">
        <f t="shared" si="117"/>
        <v>0</v>
      </c>
    </row>
    <row r="1443" spans="1:26" ht="14.1" customHeight="1">
      <c r="A1443" s="144">
        <v>1481</v>
      </c>
      <c r="B1443" s="525" t="s">
        <v>261</v>
      </c>
      <c r="C1443" s="160" t="s">
        <v>542</v>
      </c>
      <c r="D1443" s="132">
        <v>1</v>
      </c>
      <c r="E1443" s="702" t="s">
        <v>355</v>
      </c>
      <c r="F1443" s="494" t="s">
        <v>313</v>
      </c>
      <c r="G1443" s="460" t="s">
        <v>881</v>
      </c>
      <c r="H1443" s="492" t="s">
        <v>100</v>
      </c>
      <c r="I1443" s="582" t="str">
        <f>VLOOKUP(H1443,'9a-Typen vloeren'!$A$10:$B$40,2,FALSE)</f>
        <v>Sprayen/ conserveren</v>
      </c>
      <c r="J1443" s="586">
        <v>1</v>
      </c>
      <c r="K1443" s="433">
        <f t="shared" si="118"/>
        <v>0</v>
      </c>
      <c r="L1443" s="433">
        <f t="shared" si="119"/>
        <v>0</v>
      </c>
      <c r="M1443" s="433">
        <f t="shared" si="120"/>
        <v>0</v>
      </c>
      <c r="N1443" s="672"/>
      <c r="O1443" s="729">
        <f>IF(N1443="",0,N1443*K1443/'9b-Vloeronderhoud'!$F$4)</f>
        <v>0</v>
      </c>
      <c r="P1443" s="672"/>
      <c r="Q1443" s="729" t="e">
        <f>IF(O1443="",0,P1443*L1443/'9b-Vloeronderhoud'!$F$6)</f>
        <v>#DIV/0!</v>
      </c>
      <c r="R1443" s="449">
        <v>1</v>
      </c>
      <c r="S1443" s="672" t="s">
        <v>179</v>
      </c>
      <c r="T1443" s="161">
        <f t="shared" si="116"/>
        <v>0</v>
      </c>
      <c r="U1443" s="162">
        <f>IF(S1443="nio",0,IF(S1443&gt;0,VLOOKUP(G1443,'3-Productie normen'!A:K,VLOOKUP(S1443,'3-Productie normen'!L:N,3,FALSE),FALSE)))</f>
        <v>0</v>
      </c>
      <c r="V1443" s="162">
        <f>VLOOKUP(G1443,'3-Productie normen'!A:K,10,FALSE)</f>
        <v>5262.809993648526</v>
      </c>
      <c r="W1443" s="163">
        <f>VLOOKUP(G1443,'3-Productie normen'!A:K,11,FALSE)</f>
        <v>0</v>
      </c>
      <c r="X1443" s="163"/>
      <c r="Z1443" s="129">
        <f t="shared" si="117"/>
        <v>0</v>
      </c>
    </row>
    <row r="1444" spans="1:26" ht="14.1" customHeight="1">
      <c r="A1444" s="144">
        <v>1482</v>
      </c>
      <c r="B1444" s="525" t="s">
        <v>261</v>
      </c>
      <c r="C1444" s="160" t="s">
        <v>542</v>
      </c>
      <c r="D1444" s="132">
        <v>1</v>
      </c>
      <c r="E1444" s="702" t="s">
        <v>356</v>
      </c>
      <c r="F1444" s="494" t="s">
        <v>283</v>
      </c>
      <c r="G1444" s="122" t="s">
        <v>286</v>
      </c>
      <c r="H1444" s="492" t="s">
        <v>100</v>
      </c>
      <c r="I1444" s="582" t="str">
        <f>VLOOKUP(H1444,'9a-Typen vloeren'!$A$10:$B$40,2,FALSE)</f>
        <v>Sprayen/ conserveren</v>
      </c>
      <c r="J1444" s="586">
        <v>75</v>
      </c>
      <c r="K1444" s="433">
        <f t="shared" si="118"/>
        <v>75</v>
      </c>
      <c r="L1444" s="433">
        <f t="shared" si="119"/>
        <v>0</v>
      </c>
      <c r="M1444" s="433">
        <f t="shared" si="120"/>
        <v>0</v>
      </c>
      <c r="N1444" s="672">
        <v>2</v>
      </c>
      <c r="O1444" s="729" t="e">
        <f>IF(N1444="",0,N1444*K1444/'9b-Vloeronderhoud'!$F$4)</f>
        <v>#DIV/0!</v>
      </c>
      <c r="P1444" s="672"/>
      <c r="Q1444" s="729" t="e">
        <f>IF(O1444="",0,P1444*L1444/'9b-Vloeronderhoud'!$F$6)</f>
        <v>#DIV/0!</v>
      </c>
      <c r="R1444" s="449">
        <v>1</v>
      </c>
      <c r="S1444" s="672">
        <v>120</v>
      </c>
      <c r="T1444" s="161" t="e">
        <f t="shared" si="116"/>
        <v>#DIV/0!</v>
      </c>
      <c r="U1444" s="162">
        <f>IF(S1444="nio",0,IF(S1444&gt;0,VLOOKUP(G1444,'3-Productie normen'!A:K,VLOOKUP(S1444,'3-Productie normen'!L:N,3,FALSE),FALSE)))</f>
        <v>0</v>
      </c>
      <c r="V1444" s="162">
        <f>VLOOKUP(G1444,'3-Productie normen'!A:K,10,FALSE)</f>
        <v>6152.9500017547598</v>
      </c>
      <c r="W1444" s="163">
        <f>VLOOKUP(G1444,'3-Productie normen'!A:K,11,FALSE)</f>
        <v>0</v>
      </c>
      <c r="X1444" s="163"/>
      <c r="Z1444" s="129">
        <f t="shared" si="117"/>
        <v>9000</v>
      </c>
    </row>
    <row r="1445" spans="1:26" ht="14.1" customHeight="1">
      <c r="A1445" s="144">
        <v>1483</v>
      </c>
      <c r="B1445" s="525" t="s">
        <v>261</v>
      </c>
      <c r="C1445" s="160" t="s">
        <v>542</v>
      </c>
      <c r="D1445" s="132">
        <v>1</v>
      </c>
      <c r="E1445" s="702" t="s">
        <v>357</v>
      </c>
      <c r="F1445" s="494" t="s">
        <v>221</v>
      </c>
      <c r="G1445" s="303" t="s">
        <v>221</v>
      </c>
      <c r="H1445" s="492" t="s">
        <v>100</v>
      </c>
      <c r="I1445" s="582" t="str">
        <f>VLOOKUP(H1445,'9a-Typen vloeren'!$A$10:$B$40,2,FALSE)</f>
        <v>Sprayen/ conserveren</v>
      </c>
      <c r="J1445" s="586">
        <v>52.950000762939453</v>
      </c>
      <c r="K1445" s="433">
        <f t="shared" si="118"/>
        <v>52.950000762939453</v>
      </c>
      <c r="L1445" s="433">
        <f t="shared" si="119"/>
        <v>0</v>
      </c>
      <c r="M1445" s="433">
        <f t="shared" si="120"/>
        <v>0</v>
      </c>
      <c r="N1445" s="672"/>
      <c r="O1445" s="729">
        <f>IF(N1445="",0,N1445*K1445/'9b-Vloeronderhoud'!$F$4)</f>
        <v>0</v>
      </c>
      <c r="P1445" s="672"/>
      <c r="Q1445" s="729" t="e">
        <f>IF(O1445="",0,P1445*L1445/'9b-Vloeronderhoud'!$F$6)</f>
        <v>#DIV/0!</v>
      </c>
      <c r="R1445" s="449">
        <v>1</v>
      </c>
      <c r="S1445" s="688" t="s">
        <v>179</v>
      </c>
      <c r="T1445" s="161">
        <f t="shared" si="116"/>
        <v>0</v>
      </c>
      <c r="U1445" s="162">
        <f>IF(S1445="nio",0,IF(S1445&gt;0,VLOOKUP(G1445,'3-Productie normen'!A:K,VLOOKUP(S1445,'3-Productie normen'!L:N,3,FALSE),FALSE)))</f>
        <v>0</v>
      </c>
      <c r="V1445" s="162">
        <f>VLOOKUP(G1445,'3-Productie normen'!A:K,10,FALSE)</f>
        <v>16013.110036668773</v>
      </c>
      <c r="W1445" s="163">
        <f>VLOOKUP(G1445,'3-Productie normen'!A:K,11,FALSE)</f>
        <v>0</v>
      </c>
      <c r="X1445" s="163"/>
      <c r="Z1445" s="129">
        <f t="shared" si="117"/>
        <v>0</v>
      </c>
    </row>
    <row r="1446" spans="1:26" ht="14.1" customHeight="1">
      <c r="A1446" s="144">
        <v>1484</v>
      </c>
      <c r="B1446" s="525" t="s">
        <v>261</v>
      </c>
      <c r="C1446" s="160" t="s">
        <v>542</v>
      </c>
      <c r="D1446" s="132">
        <v>1</v>
      </c>
      <c r="E1446" s="702" t="s">
        <v>358</v>
      </c>
      <c r="F1446" s="494" t="s">
        <v>313</v>
      </c>
      <c r="G1446" s="460" t="s">
        <v>881</v>
      </c>
      <c r="H1446" s="492" t="s">
        <v>100</v>
      </c>
      <c r="I1446" s="582" t="str">
        <f>VLOOKUP(H1446,'9a-Typen vloeren'!$A$10:$B$40,2,FALSE)</f>
        <v>Sprayen/ conserveren</v>
      </c>
      <c r="J1446" s="586">
        <v>1</v>
      </c>
      <c r="K1446" s="433">
        <f t="shared" si="118"/>
        <v>0</v>
      </c>
      <c r="L1446" s="433">
        <f t="shared" si="119"/>
        <v>0</v>
      </c>
      <c r="M1446" s="433">
        <f t="shared" si="120"/>
        <v>0</v>
      </c>
      <c r="N1446" s="672"/>
      <c r="O1446" s="729">
        <f>IF(N1446="",0,N1446*K1446/'9b-Vloeronderhoud'!$F$4)</f>
        <v>0</v>
      </c>
      <c r="P1446" s="672"/>
      <c r="Q1446" s="729" t="e">
        <f>IF(O1446="",0,P1446*L1446/'9b-Vloeronderhoud'!$F$6)</f>
        <v>#DIV/0!</v>
      </c>
      <c r="R1446" s="449">
        <v>1</v>
      </c>
      <c r="S1446" s="672" t="s">
        <v>179</v>
      </c>
      <c r="T1446" s="161">
        <f t="shared" si="116"/>
        <v>0</v>
      </c>
      <c r="U1446" s="162">
        <f>IF(S1446="nio",0,IF(S1446&gt;0,VLOOKUP(G1446,'3-Productie normen'!A:K,VLOOKUP(S1446,'3-Productie normen'!L:N,3,FALSE),FALSE)))</f>
        <v>0</v>
      </c>
      <c r="V1446" s="162">
        <f>VLOOKUP(G1446,'3-Productie normen'!A:K,10,FALSE)</f>
        <v>5262.809993648526</v>
      </c>
      <c r="W1446" s="163">
        <f>VLOOKUP(G1446,'3-Productie normen'!A:K,11,FALSE)</f>
        <v>0</v>
      </c>
      <c r="X1446" s="163"/>
      <c r="Z1446" s="129">
        <f t="shared" si="117"/>
        <v>0</v>
      </c>
    </row>
    <row r="1447" spans="1:26" ht="14.1" customHeight="1">
      <c r="A1447" s="144">
        <v>1485</v>
      </c>
      <c r="B1447" s="525" t="s">
        <v>261</v>
      </c>
      <c r="C1447" s="160" t="s">
        <v>542</v>
      </c>
      <c r="D1447" s="132">
        <v>1</v>
      </c>
      <c r="E1447" s="702" t="s">
        <v>359</v>
      </c>
      <c r="F1447" s="494" t="s">
        <v>302</v>
      </c>
      <c r="G1447" s="303" t="s">
        <v>18</v>
      </c>
      <c r="H1447" s="303" t="s">
        <v>955</v>
      </c>
      <c r="I1447" s="582" t="str">
        <f>VLOOKUP(H1447,'9a-Typen vloeren'!$A$10:$B$40,2,FALSE)</f>
        <v>zie kwaliteitsontwerp</v>
      </c>
      <c r="J1447" s="586">
        <v>9.3500003814697266</v>
      </c>
      <c r="K1447" s="433">
        <f t="shared" si="118"/>
        <v>0</v>
      </c>
      <c r="L1447" s="433">
        <f t="shared" si="119"/>
        <v>0</v>
      </c>
      <c r="M1447" s="433">
        <f t="shared" si="120"/>
        <v>0</v>
      </c>
      <c r="N1447" s="672"/>
      <c r="O1447" s="729">
        <f>IF(N1447="",0,N1447*K1447/'9b-Vloeronderhoud'!$F$4)</f>
        <v>0</v>
      </c>
      <c r="P1447" s="672"/>
      <c r="Q1447" s="729" t="e">
        <f>IF(O1447="",0,P1447*L1447/'9b-Vloeronderhoud'!$F$6)</f>
        <v>#DIV/0!</v>
      </c>
      <c r="R1447" s="449">
        <v>1</v>
      </c>
      <c r="S1447" s="672">
        <v>190</v>
      </c>
      <c r="T1447" s="161" t="e">
        <f t="shared" si="116"/>
        <v>#DIV/0!</v>
      </c>
      <c r="U1447" s="162">
        <f>IF(S1447="nio",0,IF(S1447&gt;0,VLOOKUP(G1447,'3-Productie normen'!A:K,VLOOKUP(S1447,'3-Productie normen'!L:N,3,FALSE),FALSE)))</f>
        <v>0</v>
      </c>
      <c r="V1447" s="162">
        <f>VLOOKUP(G1447,'3-Productie normen'!A:K,10,FALSE)</f>
        <v>1859.5880019121171</v>
      </c>
      <c r="W1447" s="163">
        <f>VLOOKUP(G1447,'3-Productie normen'!A:K,11,FALSE)</f>
        <v>0</v>
      </c>
      <c r="X1447" s="163"/>
      <c r="Z1447" s="129">
        <f t="shared" si="117"/>
        <v>1776.500072479248</v>
      </c>
    </row>
    <row r="1448" spans="1:26" ht="14.1" customHeight="1">
      <c r="A1448" s="144">
        <v>1486</v>
      </c>
      <c r="B1448" s="525" t="s">
        <v>261</v>
      </c>
      <c r="C1448" s="160" t="s">
        <v>542</v>
      </c>
      <c r="D1448" s="132">
        <v>1</v>
      </c>
      <c r="E1448" s="702" t="s">
        <v>361</v>
      </c>
      <c r="F1448" s="494" t="s">
        <v>858</v>
      </c>
      <c r="G1448" s="492" t="s">
        <v>189</v>
      </c>
      <c r="H1448" s="492" t="s">
        <v>100</v>
      </c>
      <c r="I1448" s="582" t="str">
        <f>VLOOKUP(H1448,'9a-Typen vloeren'!$A$10:$B$40,2,FALSE)</f>
        <v>Sprayen/ conserveren</v>
      </c>
      <c r="J1448" s="586">
        <v>6.8000001907348633</v>
      </c>
      <c r="K1448" s="433">
        <f t="shared" si="118"/>
        <v>6.8000001907348633</v>
      </c>
      <c r="L1448" s="433">
        <f t="shared" si="119"/>
        <v>0</v>
      </c>
      <c r="M1448" s="433">
        <f t="shared" si="120"/>
        <v>0</v>
      </c>
      <c r="N1448" s="672"/>
      <c r="O1448" s="729">
        <f>IF(N1448="",0,N1448*K1448/'9b-Vloeronderhoud'!$F$4)</f>
        <v>0</v>
      </c>
      <c r="P1448" s="672"/>
      <c r="Q1448" s="729" t="e">
        <f>IF(O1448="",0,P1448*L1448/'9b-Vloeronderhoud'!$F$6)</f>
        <v>#DIV/0!</v>
      </c>
      <c r="R1448" s="449">
        <v>1</v>
      </c>
      <c r="S1448" s="672">
        <v>40</v>
      </c>
      <c r="T1448" s="161" t="e">
        <f t="shared" si="116"/>
        <v>#DIV/0!</v>
      </c>
      <c r="U1448" s="162">
        <f>IF(S1448="nio",0,IF(S1448&gt;0,VLOOKUP(G1448,'3-Productie normen'!A:K,VLOOKUP(S1448,'3-Productie normen'!L:N,3,FALSE),FALSE)))</f>
        <v>0</v>
      </c>
      <c r="V1448" s="162">
        <f>VLOOKUP(G1448,'3-Productie normen'!A:K,10,FALSE)</f>
        <v>1494.1700078582762</v>
      </c>
      <c r="W1448" s="163">
        <f>VLOOKUP(G1448,'3-Productie normen'!A:K,11,FALSE)</f>
        <v>0</v>
      </c>
      <c r="X1448" s="163"/>
      <c r="Z1448" s="129">
        <f t="shared" si="117"/>
        <v>272.00000762939453</v>
      </c>
    </row>
    <row r="1449" spans="1:26" ht="14.1" customHeight="1">
      <c r="A1449" s="144">
        <v>1487</v>
      </c>
      <c r="B1449" s="525" t="s">
        <v>261</v>
      </c>
      <c r="C1449" s="160" t="s">
        <v>542</v>
      </c>
      <c r="D1449" s="132">
        <v>1</v>
      </c>
      <c r="E1449" s="702" t="s">
        <v>363</v>
      </c>
      <c r="F1449" s="494" t="s">
        <v>451</v>
      </c>
      <c r="G1449" s="460" t="s">
        <v>881</v>
      </c>
      <c r="H1449" s="492" t="s">
        <v>100</v>
      </c>
      <c r="I1449" s="582" t="str">
        <f>VLOOKUP(H1449,'9a-Typen vloeren'!$A$10:$B$40,2,FALSE)</f>
        <v>Sprayen/ conserveren</v>
      </c>
      <c r="J1449" s="586">
        <v>6.8000001907348633</v>
      </c>
      <c r="K1449" s="433">
        <f t="shared" si="118"/>
        <v>0</v>
      </c>
      <c r="L1449" s="433">
        <f t="shared" si="119"/>
        <v>0</v>
      </c>
      <c r="M1449" s="433">
        <f t="shared" si="120"/>
        <v>0</v>
      </c>
      <c r="N1449" s="672"/>
      <c r="O1449" s="729">
        <f>IF(N1449="",0,N1449*K1449/'9b-Vloeronderhoud'!$F$4)</f>
        <v>0</v>
      </c>
      <c r="P1449" s="672"/>
      <c r="Q1449" s="729" t="e">
        <f>IF(O1449="",0,P1449*L1449/'9b-Vloeronderhoud'!$F$6)</f>
        <v>#DIV/0!</v>
      </c>
      <c r="R1449" s="449">
        <v>1</v>
      </c>
      <c r="S1449" s="672" t="s">
        <v>179</v>
      </c>
      <c r="T1449" s="161">
        <f t="shared" si="116"/>
        <v>0</v>
      </c>
      <c r="U1449" s="162">
        <f>IF(S1449="nio",0,IF(S1449&gt;0,VLOOKUP(G1449,'3-Productie normen'!A:K,VLOOKUP(S1449,'3-Productie normen'!L:N,3,FALSE),FALSE)))</f>
        <v>0</v>
      </c>
      <c r="V1449" s="162">
        <f>VLOOKUP(G1449,'3-Productie normen'!A:K,10,FALSE)</f>
        <v>5262.809993648526</v>
      </c>
      <c r="W1449" s="163">
        <f>VLOOKUP(G1449,'3-Productie normen'!A:K,11,FALSE)</f>
        <v>0</v>
      </c>
      <c r="X1449" s="163"/>
      <c r="Z1449" s="129">
        <f t="shared" si="117"/>
        <v>0</v>
      </c>
    </row>
    <row r="1450" spans="1:26" ht="14.1" customHeight="1">
      <c r="A1450" s="144">
        <v>1488</v>
      </c>
      <c r="B1450" s="525" t="s">
        <v>261</v>
      </c>
      <c r="C1450" s="160" t="s">
        <v>542</v>
      </c>
      <c r="D1450" s="132">
        <v>1</v>
      </c>
      <c r="E1450" s="702" t="s">
        <v>364</v>
      </c>
      <c r="F1450" s="494" t="s">
        <v>302</v>
      </c>
      <c r="G1450" s="122" t="s">
        <v>18</v>
      </c>
      <c r="H1450" s="303" t="s">
        <v>955</v>
      </c>
      <c r="I1450" s="582" t="str">
        <f>VLOOKUP(H1450,'9a-Typen vloeren'!$A$10:$B$40,2,FALSE)</f>
        <v>zie kwaliteitsontwerp</v>
      </c>
      <c r="J1450" s="586">
        <v>9.3500003814697266</v>
      </c>
      <c r="K1450" s="433">
        <f t="shared" si="118"/>
        <v>0</v>
      </c>
      <c r="L1450" s="433">
        <f t="shared" si="119"/>
        <v>0</v>
      </c>
      <c r="M1450" s="433">
        <f t="shared" si="120"/>
        <v>0</v>
      </c>
      <c r="N1450" s="672"/>
      <c r="O1450" s="729">
        <f>IF(N1450="",0,N1450*K1450/'9b-Vloeronderhoud'!$F$4)</f>
        <v>0</v>
      </c>
      <c r="P1450" s="672"/>
      <c r="Q1450" s="729" t="e">
        <f>IF(O1450="",0,P1450*L1450/'9b-Vloeronderhoud'!$F$6)</f>
        <v>#DIV/0!</v>
      </c>
      <c r="R1450" s="449">
        <v>1</v>
      </c>
      <c r="S1450" s="672">
        <v>190</v>
      </c>
      <c r="T1450" s="161" t="e">
        <f t="shared" si="116"/>
        <v>#DIV/0!</v>
      </c>
      <c r="U1450" s="162">
        <f>IF(S1450="nio",0,IF(S1450&gt;0,VLOOKUP(G1450,'3-Productie normen'!A:K,VLOOKUP(S1450,'3-Productie normen'!L:N,3,FALSE),FALSE)))</f>
        <v>0</v>
      </c>
      <c r="V1450" s="162">
        <f>VLOOKUP(G1450,'3-Productie normen'!A:K,10,FALSE)</f>
        <v>1859.5880019121171</v>
      </c>
      <c r="W1450" s="163">
        <f>VLOOKUP(G1450,'3-Productie normen'!A:K,11,FALSE)</f>
        <v>0</v>
      </c>
      <c r="X1450" s="163"/>
      <c r="Z1450" s="129">
        <f t="shared" si="117"/>
        <v>1776.500072479248</v>
      </c>
    </row>
    <row r="1451" spans="1:26" ht="14.1" customHeight="1">
      <c r="A1451" s="144">
        <v>1489</v>
      </c>
      <c r="B1451" s="525" t="s">
        <v>261</v>
      </c>
      <c r="C1451" s="160" t="s">
        <v>542</v>
      </c>
      <c r="D1451" s="132">
        <v>1</v>
      </c>
      <c r="E1451" s="702" t="s">
        <v>366</v>
      </c>
      <c r="F1451" s="494" t="s">
        <v>221</v>
      </c>
      <c r="G1451" s="122" t="s">
        <v>221</v>
      </c>
      <c r="H1451" s="492" t="s">
        <v>100</v>
      </c>
      <c r="I1451" s="582" t="str">
        <f>VLOOKUP(H1451,'9a-Typen vloeren'!$A$10:$B$40,2,FALSE)</f>
        <v>Sprayen/ conserveren</v>
      </c>
      <c r="J1451" s="586">
        <v>52.950000762939453</v>
      </c>
      <c r="K1451" s="433">
        <f t="shared" si="118"/>
        <v>52.950000762939453</v>
      </c>
      <c r="L1451" s="433">
        <f t="shared" si="119"/>
        <v>0</v>
      </c>
      <c r="M1451" s="433">
        <f t="shared" si="120"/>
        <v>0</v>
      </c>
      <c r="N1451" s="672"/>
      <c r="O1451" s="729">
        <f>IF(N1451="",0,N1451*K1451/'9b-Vloeronderhoud'!$F$4)</f>
        <v>0</v>
      </c>
      <c r="P1451" s="672"/>
      <c r="Q1451" s="729" t="e">
        <f>IF(O1451="",0,P1451*L1451/'9b-Vloeronderhoud'!$F$6)</f>
        <v>#DIV/0!</v>
      </c>
      <c r="R1451" s="449">
        <v>1</v>
      </c>
      <c r="S1451" s="688" t="s">
        <v>179</v>
      </c>
      <c r="T1451" s="161">
        <f t="shared" si="116"/>
        <v>0</v>
      </c>
      <c r="U1451" s="162">
        <f>IF(S1451="nio",0,IF(S1451&gt;0,VLOOKUP(G1451,'3-Productie normen'!A:K,VLOOKUP(S1451,'3-Productie normen'!L:N,3,FALSE),FALSE)))</f>
        <v>0</v>
      </c>
      <c r="V1451" s="162">
        <f>VLOOKUP(G1451,'3-Productie normen'!A:K,10,FALSE)</f>
        <v>16013.110036668773</v>
      </c>
      <c r="W1451" s="163">
        <f>VLOOKUP(G1451,'3-Productie normen'!A:K,11,FALSE)</f>
        <v>0</v>
      </c>
      <c r="X1451" s="163"/>
      <c r="Z1451" s="129">
        <f t="shared" si="117"/>
        <v>0</v>
      </c>
    </row>
    <row r="1452" spans="1:26" ht="14.1" customHeight="1">
      <c r="A1452" s="144">
        <v>1490</v>
      </c>
      <c r="B1452" s="525" t="s">
        <v>261</v>
      </c>
      <c r="C1452" s="160" t="s">
        <v>542</v>
      </c>
      <c r="D1452" s="132">
        <v>1</v>
      </c>
      <c r="E1452" s="702" t="s">
        <v>367</v>
      </c>
      <c r="F1452" s="494" t="s">
        <v>313</v>
      </c>
      <c r="G1452" s="460" t="s">
        <v>881</v>
      </c>
      <c r="H1452" s="492" t="s">
        <v>100</v>
      </c>
      <c r="I1452" s="582" t="str">
        <f>VLOOKUP(H1452,'9a-Typen vloeren'!$A$10:$B$40,2,FALSE)</f>
        <v>Sprayen/ conserveren</v>
      </c>
      <c r="J1452" s="586">
        <v>2</v>
      </c>
      <c r="K1452" s="433">
        <f t="shared" si="118"/>
        <v>0</v>
      </c>
      <c r="L1452" s="433">
        <f t="shared" si="119"/>
        <v>0</v>
      </c>
      <c r="M1452" s="433">
        <f t="shared" si="120"/>
        <v>0</v>
      </c>
      <c r="N1452" s="672"/>
      <c r="O1452" s="729">
        <f>IF(N1452="",0,N1452*K1452/'9b-Vloeronderhoud'!$F$4)</f>
        <v>0</v>
      </c>
      <c r="P1452" s="672"/>
      <c r="Q1452" s="729" t="e">
        <f>IF(O1452="",0,P1452*L1452/'9b-Vloeronderhoud'!$F$6)</f>
        <v>#DIV/0!</v>
      </c>
      <c r="R1452" s="449">
        <v>1</v>
      </c>
      <c r="S1452" s="672" t="s">
        <v>179</v>
      </c>
      <c r="T1452" s="161">
        <f t="shared" si="116"/>
        <v>0</v>
      </c>
      <c r="U1452" s="162">
        <f>IF(S1452="nio",0,IF(S1452&gt;0,VLOOKUP(G1452,'3-Productie normen'!A:K,VLOOKUP(S1452,'3-Productie normen'!L:N,3,FALSE),FALSE)))</f>
        <v>0</v>
      </c>
      <c r="V1452" s="162">
        <f>VLOOKUP(G1452,'3-Productie normen'!A:K,10,FALSE)</f>
        <v>5262.809993648526</v>
      </c>
      <c r="W1452" s="163">
        <f>VLOOKUP(G1452,'3-Productie normen'!A:K,11,FALSE)</f>
        <v>0</v>
      </c>
      <c r="X1452" s="163"/>
      <c r="Z1452" s="129">
        <f t="shared" si="117"/>
        <v>0</v>
      </c>
    </row>
    <row r="1453" spans="1:26" ht="14.1" customHeight="1">
      <c r="A1453" s="144">
        <v>1491</v>
      </c>
      <c r="B1453" s="525" t="s">
        <v>261</v>
      </c>
      <c r="C1453" s="160" t="s">
        <v>542</v>
      </c>
      <c r="D1453" s="132">
        <v>1</v>
      </c>
      <c r="E1453" s="702" t="s">
        <v>368</v>
      </c>
      <c r="F1453" s="494" t="s">
        <v>221</v>
      </c>
      <c r="G1453" s="546" t="s">
        <v>221</v>
      </c>
      <c r="H1453" s="492" t="s">
        <v>100</v>
      </c>
      <c r="I1453" s="582" t="str">
        <f>VLOOKUP(H1453,'9a-Typen vloeren'!$A$10:$B$40,2,FALSE)</f>
        <v>Sprayen/ conserveren</v>
      </c>
      <c r="J1453" s="586">
        <v>46.450000762939453</v>
      </c>
      <c r="K1453" s="433">
        <f t="shared" si="118"/>
        <v>46.450000762939453</v>
      </c>
      <c r="L1453" s="433">
        <f t="shared" si="119"/>
        <v>0</v>
      </c>
      <c r="M1453" s="433">
        <f t="shared" si="120"/>
        <v>0</v>
      </c>
      <c r="N1453" s="672"/>
      <c r="O1453" s="729">
        <f>IF(N1453="",0,N1453*K1453/'9b-Vloeronderhoud'!$F$4)</f>
        <v>0</v>
      </c>
      <c r="P1453" s="672"/>
      <c r="Q1453" s="729" t="e">
        <f>IF(O1453="",0,P1453*L1453/'9b-Vloeronderhoud'!$F$6)</f>
        <v>#DIV/0!</v>
      </c>
      <c r="R1453" s="449">
        <v>1</v>
      </c>
      <c r="S1453" s="688" t="s">
        <v>179</v>
      </c>
      <c r="T1453" s="161">
        <f t="shared" si="116"/>
        <v>0</v>
      </c>
      <c r="U1453" s="162">
        <f>IF(S1453="nio",0,IF(S1453&gt;0,VLOOKUP(G1453,'3-Productie normen'!A:K,VLOOKUP(S1453,'3-Productie normen'!L:N,3,FALSE),FALSE)))</f>
        <v>0</v>
      </c>
      <c r="V1453" s="162">
        <f>VLOOKUP(G1453,'3-Productie normen'!A:K,10,FALSE)</f>
        <v>16013.110036668773</v>
      </c>
      <c r="W1453" s="163">
        <f>VLOOKUP(G1453,'3-Productie normen'!A:K,11,FALSE)</f>
        <v>0</v>
      </c>
      <c r="X1453" s="163"/>
      <c r="Z1453" s="129">
        <f t="shared" si="117"/>
        <v>0</v>
      </c>
    </row>
    <row r="1454" spans="1:26" ht="14.1" customHeight="1">
      <c r="A1454" s="144">
        <v>1492</v>
      </c>
      <c r="B1454" s="525" t="s">
        <v>261</v>
      </c>
      <c r="C1454" s="160" t="s">
        <v>542</v>
      </c>
      <c r="D1454" s="132">
        <v>1</v>
      </c>
      <c r="E1454" s="702" t="s">
        <v>369</v>
      </c>
      <c r="F1454" s="494" t="s">
        <v>313</v>
      </c>
      <c r="G1454" s="460" t="s">
        <v>881</v>
      </c>
      <c r="H1454" s="492" t="s">
        <v>100</v>
      </c>
      <c r="I1454" s="582" t="str">
        <f>VLOOKUP(H1454,'9a-Typen vloeren'!$A$10:$B$40,2,FALSE)</f>
        <v>Sprayen/ conserveren</v>
      </c>
      <c r="J1454" s="586">
        <v>2</v>
      </c>
      <c r="K1454" s="433">
        <f t="shared" si="118"/>
        <v>0</v>
      </c>
      <c r="L1454" s="433">
        <f t="shared" si="119"/>
        <v>0</v>
      </c>
      <c r="M1454" s="433">
        <f t="shared" si="120"/>
        <v>0</v>
      </c>
      <c r="N1454" s="672"/>
      <c r="O1454" s="729">
        <f>IF(N1454="",0,N1454*K1454/'9b-Vloeronderhoud'!$F$4)</f>
        <v>0</v>
      </c>
      <c r="P1454" s="672"/>
      <c r="Q1454" s="729" t="e">
        <f>IF(O1454="",0,P1454*L1454/'9b-Vloeronderhoud'!$F$6)</f>
        <v>#DIV/0!</v>
      </c>
      <c r="R1454" s="449">
        <v>1</v>
      </c>
      <c r="S1454" s="672" t="s">
        <v>179</v>
      </c>
      <c r="T1454" s="161">
        <f t="shared" si="116"/>
        <v>0</v>
      </c>
      <c r="U1454" s="162">
        <f>IF(S1454="nio",0,IF(S1454&gt;0,VLOOKUP(G1454,'3-Productie normen'!A:K,VLOOKUP(S1454,'3-Productie normen'!L:N,3,FALSE),FALSE)))</f>
        <v>0</v>
      </c>
      <c r="V1454" s="162">
        <f>VLOOKUP(G1454,'3-Productie normen'!A:K,10,FALSE)</f>
        <v>5262.809993648526</v>
      </c>
      <c r="W1454" s="163">
        <f>VLOOKUP(G1454,'3-Productie normen'!A:K,11,FALSE)</f>
        <v>0</v>
      </c>
      <c r="X1454" s="163"/>
      <c r="Z1454" s="129">
        <f t="shared" si="117"/>
        <v>0</v>
      </c>
    </row>
    <row r="1455" spans="1:26" ht="14.1" customHeight="1">
      <c r="A1455" s="144">
        <v>1493</v>
      </c>
      <c r="B1455" s="525" t="s">
        <v>261</v>
      </c>
      <c r="C1455" s="160" t="s">
        <v>542</v>
      </c>
      <c r="D1455" s="132">
        <v>1</v>
      </c>
      <c r="E1455" s="702" t="s">
        <v>370</v>
      </c>
      <c r="F1455" s="494" t="s">
        <v>221</v>
      </c>
      <c r="G1455" s="122" t="s">
        <v>221</v>
      </c>
      <c r="H1455" s="492" t="s">
        <v>100</v>
      </c>
      <c r="I1455" s="582" t="str">
        <f>VLOOKUP(H1455,'9a-Typen vloeren'!$A$10:$B$40,2,FALSE)</f>
        <v>Sprayen/ conserveren</v>
      </c>
      <c r="J1455" s="586">
        <v>54</v>
      </c>
      <c r="K1455" s="433">
        <f t="shared" si="118"/>
        <v>54</v>
      </c>
      <c r="L1455" s="433">
        <f t="shared" si="119"/>
        <v>0</v>
      </c>
      <c r="M1455" s="433">
        <f t="shared" si="120"/>
        <v>0</v>
      </c>
      <c r="N1455" s="672"/>
      <c r="O1455" s="729">
        <f>IF(N1455="",0,N1455*K1455/'9b-Vloeronderhoud'!$F$4)</f>
        <v>0</v>
      </c>
      <c r="P1455" s="672"/>
      <c r="Q1455" s="729" t="e">
        <f>IF(O1455="",0,P1455*L1455/'9b-Vloeronderhoud'!$F$6)</f>
        <v>#DIV/0!</v>
      </c>
      <c r="R1455" s="449">
        <v>1</v>
      </c>
      <c r="S1455" s="688" t="s">
        <v>179</v>
      </c>
      <c r="T1455" s="161">
        <f t="shared" si="116"/>
        <v>0</v>
      </c>
      <c r="U1455" s="162">
        <f>IF(S1455="nio",0,IF(S1455&gt;0,VLOOKUP(G1455,'3-Productie normen'!A:K,VLOOKUP(S1455,'3-Productie normen'!L:N,3,FALSE),FALSE)))</f>
        <v>0</v>
      </c>
      <c r="V1455" s="162">
        <f>VLOOKUP(G1455,'3-Productie normen'!A:K,10,FALSE)</f>
        <v>16013.110036668773</v>
      </c>
      <c r="W1455" s="163">
        <f>VLOOKUP(G1455,'3-Productie normen'!A:K,11,FALSE)</f>
        <v>0</v>
      </c>
      <c r="X1455" s="163"/>
      <c r="Z1455" s="129">
        <f t="shared" si="117"/>
        <v>0</v>
      </c>
    </row>
    <row r="1456" spans="1:26" ht="14.1" customHeight="1">
      <c r="A1456" s="144">
        <v>1494</v>
      </c>
      <c r="B1456" s="525" t="s">
        <v>227</v>
      </c>
      <c r="C1456" s="159" t="s">
        <v>425</v>
      </c>
      <c r="D1456" s="132" t="s">
        <v>98</v>
      </c>
      <c r="E1456" s="702" t="s">
        <v>294</v>
      </c>
      <c r="F1456" s="126" t="s">
        <v>99</v>
      </c>
      <c r="G1456" s="122" t="s">
        <v>99</v>
      </c>
      <c r="H1456" s="303" t="s">
        <v>332</v>
      </c>
      <c r="I1456" s="582" t="str">
        <f>VLOOKUP(H1456,'9a-Typen vloeren'!$A$10:$B$40,2,FALSE)</f>
        <v>Sproei/extraheren</v>
      </c>
      <c r="J1456" s="584">
        <v>6.1500000953674316</v>
      </c>
      <c r="K1456" s="433">
        <f t="shared" si="118"/>
        <v>0</v>
      </c>
      <c r="L1456" s="433">
        <f t="shared" si="119"/>
        <v>0</v>
      </c>
      <c r="M1456" s="433">
        <f t="shared" si="120"/>
        <v>6.1500000953674316</v>
      </c>
      <c r="N1456" s="672"/>
      <c r="O1456" s="729">
        <f>IF(N1456="",0,N1456*K1456/'9b-Vloeronderhoud'!$F$4)</f>
        <v>0</v>
      </c>
      <c r="P1456" s="672"/>
      <c r="Q1456" s="729" t="e">
        <f>IF(O1456="",0,P1456*L1456/'9b-Vloeronderhoud'!$F$6)</f>
        <v>#DIV/0!</v>
      </c>
      <c r="R1456" s="449">
        <v>1</v>
      </c>
      <c r="S1456" s="672">
        <v>190</v>
      </c>
      <c r="T1456" s="161" t="e">
        <f t="shared" si="116"/>
        <v>#DIV/0!</v>
      </c>
      <c r="U1456" s="162">
        <f>IF(S1456="nio",0,IF(S1456&gt;0,VLOOKUP(G1456,'3-Productie normen'!A:K,VLOOKUP(S1456,'3-Productie normen'!L:N,3,FALSE),FALSE)))</f>
        <v>0</v>
      </c>
      <c r="V1456" s="162">
        <f>VLOOKUP(G1456,'3-Productie normen'!A:K,10,FALSE)</f>
        <v>726.97999910354622</v>
      </c>
      <c r="W1456" s="163">
        <f>VLOOKUP(G1456,'3-Productie normen'!A:K,11,FALSE)</f>
        <v>0</v>
      </c>
      <c r="X1456" s="163"/>
      <c r="Z1456" s="129">
        <f t="shared" si="117"/>
        <v>1168.500018119812</v>
      </c>
    </row>
    <row r="1457" spans="1:26" ht="14.1" customHeight="1">
      <c r="A1457" s="144">
        <v>1495</v>
      </c>
      <c r="B1457" s="525" t="s">
        <v>227</v>
      </c>
      <c r="C1457" s="159" t="s">
        <v>425</v>
      </c>
      <c r="D1457" s="132" t="s">
        <v>98</v>
      </c>
      <c r="E1457" s="702" t="s">
        <v>295</v>
      </c>
      <c r="F1457" s="126" t="s">
        <v>283</v>
      </c>
      <c r="G1457" s="460" t="s">
        <v>286</v>
      </c>
      <c r="H1457" s="160" t="s">
        <v>100</v>
      </c>
      <c r="I1457" s="582" t="str">
        <f>VLOOKUP(H1457,'9a-Typen vloeren'!$A$10:$B$40,2,FALSE)</f>
        <v>Sprayen/ conserveren</v>
      </c>
      <c r="J1457" s="584">
        <v>111.44999694824219</v>
      </c>
      <c r="K1457" s="433">
        <f t="shared" si="118"/>
        <v>111.44999694824219</v>
      </c>
      <c r="L1457" s="433">
        <f t="shared" si="119"/>
        <v>0</v>
      </c>
      <c r="M1457" s="433">
        <f t="shared" si="120"/>
        <v>0</v>
      </c>
      <c r="N1457" s="672">
        <v>2</v>
      </c>
      <c r="O1457" s="729" t="e">
        <f>IF(N1457="",0,N1457*K1457/'9b-Vloeronderhoud'!$F$4)</f>
        <v>#DIV/0!</v>
      </c>
      <c r="P1457" s="672"/>
      <c r="Q1457" s="729" t="e">
        <f>IF(O1457="",0,P1457*L1457/'9b-Vloeronderhoud'!$F$6)</f>
        <v>#DIV/0!</v>
      </c>
      <c r="R1457" s="449">
        <v>1</v>
      </c>
      <c r="S1457" s="672">
        <v>120</v>
      </c>
      <c r="T1457" s="161" t="e">
        <f t="shared" si="116"/>
        <v>#DIV/0!</v>
      </c>
      <c r="U1457" s="162">
        <f>IF(S1457="nio",0,IF(S1457&gt;0,VLOOKUP(G1457,'3-Productie normen'!A:K,VLOOKUP(S1457,'3-Productie normen'!L:N,3,FALSE),FALSE)))</f>
        <v>0</v>
      </c>
      <c r="V1457" s="162">
        <f>VLOOKUP(G1457,'3-Productie normen'!A:K,10,FALSE)</f>
        <v>6152.9500017547598</v>
      </c>
      <c r="W1457" s="163">
        <f>VLOOKUP(G1457,'3-Productie normen'!A:K,11,FALSE)</f>
        <v>0</v>
      </c>
      <c r="X1457" s="163"/>
      <c r="Z1457" s="129">
        <f t="shared" si="117"/>
        <v>13373.999633789063</v>
      </c>
    </row>
    <row r="1458" spans="1:26" ht="14.1" customHeight="1">
      <c r="A1458" s="144">
        <v>1496</v>
      </c>
      <c r="B1458" s="525" t="s">
        <v>227</v>
      </c>
      <c r="C1458" s="159" t="s">
        <v>425</v>
      </c>
      <c r="D1458" s="132" t="s">
        <v>98</v>
      </c>
      <c r="E1458" s="702" t="s">
        <v>296</v>
      </c>
      <c r="F1458" s="159" t="s">
        <v>297</v>
      </c>
      <c r="G1458" s="122" t="s">
        <v>189</v>
      </c>
      <c r="H1458" s="303" t="s">
        <v>332</v>
      </c>
      <c r="I1458" s="582" t="str">
        <f>VLOOKUP(H1458,'9a-Typen vloeren'!$A$10:$B$40,2,FALSE)</f>
        <v>Sproei/extraheren</v>
      </c>
      <c r="J1458" s="584">
        <v>15.649999618530273</v>
      </c>
      <c r="K1458" s="433">
        <f t="shared" si="118"/>
        <v>0</v>
      </c>
      <c r="L1458" s="433">
        <f t="shared" si="119"/>
        <v>0</v>
      </c>
      <c r="M1458" s="433">
        <f t="shared" si="120"/>
        <v>15.649999618530273</v>
      </c>
      <c r="N1458" s="672"/>
      <c r="O1458" s="729">
        <f>IF(N1458="",0,N1458*K1458/'9b-Vloeronderhoud'!$F$4)</f>
        <v>0</v>
      </c>
      <c r="P1458" s="672"/>
      <c r="Q1458" s="729" t="e">
        <f>IF(O1458="",0,P1458*L1458/'9b-Vloeronderhoud'!$F$6)</f>
        <v>#DIV/0!</v>
      </c>
      <c r="R1458" s="449">
        <v>1</v>
      </c>
      <c r="S1458" s="672">
        <v>40</v>
      </c>
      <c r="T1458" s="161" t="e">
        <f t="shared" si="116"/>
        <v>#DIV/0!</v>
      </c>
      <c r="U1458" s="162">
        <f>IF(S1458="nio",0,IF(S1458&gt;0,VLOOKUP(G1458,'3-Productie normen'!A:K,VLOOKUP(S1458,'3-Productie normen'!L:N,3,FALSE),FALSE)))</f>
        <v>0</v>
      </c>
      <c r="V1458" s="162">
        <f>VLOOKUP(G1458,'3-Productie normen'!A:K,10,FALSE)</f>
        <v>1494.1700078582762</v>
      </c>
      <c r="W1458" s="163">
        <f>VLOOKUP(G1458,'3-Productie normen'!A:K,11,FALSE)</f>
        <v>0</v>
      </c>
      <c r="X1458" s="163"/>
      <c r="Z1458" s="129">
        <f t="shared" si="117"/>
        <v>625.99998474121094</v>
      </c>
    </row>
    <row r="1459" spans="1:26" ht="14.1" customHeight="1">
      <c r="A1459" s="144">
        <v>1497</v>
      </c>
      <c r="B1459" s="525" t="s">
        <v>227</v>
      </c>
      <c r="C1459" s="159" t="s">
        <v>425</v>
      </c>
      <c r="D1459" s="132" t="s">
        <v>98</v>
      </c>
      <c r="E1459" s="702" t="s">
        <v>298</v>
      </c>
      <c r="F1459" s="159" t="s">
        <v>299</v>
      </c>
      <c r="G1459" s="303" t="s">
        <v>299</v>
      </c>
      <c r="H1459" s="303" t="s">
        <v>332</v>
      </c>
      <c r="I1459" s="582" t="str">
        <f>VLOOKUP(H1459,'9a-Typen vloeren'!$A$10:$B$40,2,FALSE)</f>
        <v>Sproei/extraheren</v>
      </c>
      <c r="J1459" s="584">
        <v>23.399999618530273</v>
      </c>
      <c r="K1459" s="433">
        <f t="shared" si="118"/>
        <v>0</v>
      </c>
      <c r="L1459" s="433">
        <f t="shared" si="119"/>
        <v>0</v>
      </c>
      <c r="M1459" s="433">
        <f t="shared" si="120"/>
        <v>23.399999618530273</v>
      </c>
      <c r="N1459" s="672"/>
      <c r="O1459" s="729">
        <f>IF(N1459="",0,N1459*K1459/'9b-Vloeronderhoud'!$F$4)</f>
        <v>0</v>
      </c>
      <c r="P1459" s="672"/>
      <c r="Q1459" s="729" t="e">
        <f>IF(O1459="",0,P1459*L1459/'9b-Vloeronderhoud'!$F$6)</f>
        <v>#DIV/0!</v>
      </c>
      <c r="R1459" s="449">
        <v>1</v>
      </c>
      <c r="S1459" s="672">
        <v>40</v>
      </c>
      <c r="T1459" s="161" t="e">
        <f t="shared" si="116"/>
        <v>#DIV/0!</v>
      </c>
      <c r="U1459" s="162">
        <f>IF(S1459="nio",0,IF(S1459&gt;0,VLOOKUP(G1459,'3-Productie normen'!A:K,VLOOKUP(S1459,'3-Productie normen'!L:N,3,FALSE),FALSE)))</f>
        <v>0</v>
      </c>
      <c r="V1459" s="162">
        <f>VLOOKUP(G1459,'3-Productie normen'!A:K,10,FALSE)</f>
        <v>1107.9100014114381</v>
      </c>
      <c r="W1459" s="163">
        <f>VLOOKUP(G1459,'3-Productie normen'!A:K,11,FALSE)</f>
        <v>0</v>
      </c>
      <c r="X1459" s="163"/>
      <c r="Z1459" s="129">
        <f t="shared" si="117"/>
        <v>935.99998474121094</v>
      </c>
    </row>
    <row r="1460" spans="1:26" ht="14.1" customHeight="1">
      <c r="A1460" s="144">
        <v>1498</v>
      </c>
      <c r="B1460" s="525" t="s">
        <v>227</v>
      </c>
      <c r="C1460" s="159" t="s">
        <v>425</v>
      </c>
      <c r="D1460" s="132" t="s">
        <v>98</v>
      </c>
      <c r="E1460" s="702" t="s">
        <v>300</v>
      </c>
      <c r="F1460" s="159" t="s">
        <v>290</v>
      </c>
      <c r="G1460" s="122" t="s">
        <v>190</v>
      </c>
      <c r="H1460" s="160" t="s">
        <v>100</v>
      </c>
      <c r="I1460" s="582" t="str">
        <f>VLOOKUP(H1460,'9a-Typen vloeren'!$A$10:$B$40,2,FALSE)</f>
        <v>Sprayen/ conserveren</v>
      </c>
      <c r="J1460" s="584">
        <v>4.5</v>
      </c>
      <c r="K1460" s="433">
        <f t="shared" si="118"/>
        <v>4.5</v>
      </c>
      <c r="L1460" s="433">
        <f t="shared" si="119"/>
        <v>0</v>
      </c>
      <c r="M1460" s="433">
        <f t="shared" si="120"/>
        <v>0</v>
      </c>
      <c r="N1460" s="672">
        <v>2</v>
      </c>
      <c r="O1460" s="729" t="e">
        <f>IF(N1460="",0,N1460*K1460/'9b-Vloeronderhoud'!$F$4)</f>
        <v>#DIV/0!</v>
      </c>
      <c r="P1460" s="672"/>
      <c r="Q1460" s="729" t="e">
        <f>IF(O1460="",0,P1460*L1460/'9b-Vloeronderhoud'!$F$6)</f>
        <v>#DIV/0!</v>
      </c>
      <c r="R1460" s="449">
        <v>1</v>
      </c>
      <c r="S1460" s="672">
        <v>40</v>
      </c>
      <c r="T1460" s="161" t="e">
        <f t="shared" si="116"/>
        <v>#DIV/0!</v>
      </c>
      <c r="U1460" s="162">
        <f>IF(S1460="nio",0,IF(S1460&gt;0,VLOOKUP(G1460,'3-Productie normen'!A:K,VLOOKUP(S1460,'3-Productie normen'!L:N,3,FALSE),FALSE)))</f>
        <v>0</v>
      </c>
      <c r="V1460" s="162">
        <f>VLOOKUP(G1460,'3-Productie normen'!A:K,10,FALSE)</f>
        <v>281.65000052452086</v>
      </c>
      <c r="W1460" s="163">
        <f>VLOOKUP(G1460,'3-Productie normen'!A:K,11,FALSE)</f>
        <v>0</v>
      </c>
      <c r="X1460" s="163"/>
      <c r="Z1460" s="129">
        <f t="shared" si="117"/>
        <v>180</v>
      </c>
    </row>
    <row r="1461" spans="1:26" ht="14.1" customHeight="1">
      <c r="A1461" s="144">
        <v>1499</v>
      </c>
      <c r="B1461" s="525" t="s">
        <v>227</v>
      </c>
      <c r="C1461" s="159" t="s">
        <v>425</v>
      </c>
      <c r="D1461" s="132" t="s">
        <v>98</v>
      </c>
      <c r="E1461" s="702" t="s">
        <v>301</v>
      </c>
      <c r="F1461" s="160" t="s">
        <v>302</v>
      </c>
      <c r="G1461" s="303" t="s">
        <v>18</v>
      </c>
      <c r="H1461" s="303" t="s">
        <v>955</v>
      </c>
      <c r="I1461" s="582" t="str">
        <f>VLOOKUP(H1461,'9a-Typen vloeren'!$A$10:$B$40,2,FALSE)</f>
        <v>zie kwaliteitsontwerp</v>
      </c>
      <c r="J1461" s="584">
        <v>2.2000000476837158</v>
      </c>
      <c r="K1461" s="433">
        <f t="shared" si="118"/>
        <v>0</v>
      </c>
      <c r="L1461" s="433">
        <f t="shared" si="119"/>
        <v>0</v>
      </c>
      <c r="M1461" s="433">
        <f t="shared" si="120"/>
        <v>0</v>
      </c>
      <c r="N1461" s="672"/>
      <c r="O1461" s="729">
        <f>IF(N1461="",0,N1461*K1461/'9b-Vloeronderhoud'!$F$4)</f>
        <v>0</v>
      </c>
      <c r="P1461" s="672"/>
      <c r="Q1461" s="729" t="e">
        <f>IF(O1461="",0,P1461*L1461/'9b-Vloeronderhoud'!$F$6)</f>
        <v>#DIV/0!</v>
      </c>
      <c r="R1461" s="449">
        <v>1</v>
      </c>
      <c r="S1461" s="672">
        <v>190</v>
      </c>
      <c r="T1461" s="161" t="e">
        <f t="shared" si="116"/>
        <v>#DIV/0!</v>
      </c>
      <c r="U1461" s="162">
        <f>IF(S1461="nio",0,IF(S1461&gt;0,VLOOKUP(G1461,'3-Productie normen'!A:K,VLOOKUP(S1461,'3-Productie normen'!L:N,3,FALSE),FALSE)))</f>
        <v>0</v>
      </c>
      <c r="V1461" s="162">
        <f>VLOOKUP(G1461,'3-Productie normen'!A:K,10,FALSE)</f>
        <v>1859.5880019121171</v>
      </c>
      <c r="W1461" s="163">
        <f>VLOOKUP(G1461,'3-Productie normen'!A:K,11,FALSE)</f>
        <v>0</v>
      </c>
      <c r="X1461" s="163"/>
      <c r="Z1461" s="129">
        <f t="shared" si="117"/>
        <v>418.00000905990601</v>
      </c>
    </row>
    <row r="1462" spans="1:26" ht="14.1" customHeight="1">
      <c r="A1462" s="144">
        <v>1500</v>
      </c>
      <c r="B1462" s="525" t="s">
        <v>227</v>
      </c>
      <c r="C1462" s="159" t="s">
        <v>425</v>
      </c>
      <c r="D1462" s="132" t="s">
        <v>98</v>
      </c>
      <c r="E1462" s="702" t="s">
        <v>303</v>
      </c>
      <c r="F1462" s="160" t="s">
        <v>304</v>
      </c>
      <c r="G1462" s="460" t="s">
        <v>18</v>
      </c>
      <c r="H1462" s="303" t="s">
        <v>955</v>
      </c>
      <c r="I1462" s="582" t="str">
        <f>VLOOKUP(H1462,'9a-Typen vloeren'!$A$10:$B$40,2,FALSE)</f>
        <v>zie kwaliteitsontwerp</v>
      </c>
      <c r="J1462" s="584">
        <v>3.5</v>
      </c>
      <c r="K1462" s="433">
        <f t="shared" si="118"/>
        <v>0</v>
      </c>
      <c r="L1462" s="433">
        <f t="shared" si="119"/>
        <v>0</v>
      </c>
      <c r="M1462" s="433">
        <f t="shared" si="120"/>
        <v>0</v>
      </c>
      <c r="N1462" s="672"/>
      <c r="O1462" s="729">
        <f>IF(N1462="",0,N1462*K1462/'9b-Vloeronderhoud'!$F$4)</f>
        <v>0</v>
      </c>
      <c r="P1462" s="672"/>
      <c r="Q1462" s="729" t="e">
        <f>IF(O1462="",0,P1462*L1462/'9b-Vloeronderhoud'!$F$6)</f>
        <v>#DIV/0!</v>
      </c>
      <c r="R1462" s="449">
        <v>1</v>
      </c>
      <c r="S1462" s="672">
        <v>190</v>
      </c>
      <c r="T1462" s="161" t="e">
        <f t="shared" si="116"/>
        <v>#DIV/0!</v>
      </c>
      <c r="U1462" s="162">
        <f>IF(S1462="nio",0,IF(S1462&gt;0,VLOOKUP(G1462,'3-Productie normen'!A:K,VLOOKUP(S1462,'3-Productie normen'!L:N,3,FALSE),FALSE)))</f>
        <v>0</v>
      </c>
      <c r="V1462" s="162">
        <f>VLOOKUP(G1462,'3-Productie normen'!A:K,10,FALSE)</f>
        <v>1859.5880019121171</v>
      </c>
      <c r="W1462" s="163">
        <f>VLOOKUP(G1462,'3-Productie normen'!A:K,11,FALSE)</f>
        <v>0</v>
      </c>
      <c r="X1462" s="163"/>
      <c r="Z1462" s="129">
        <f t="shared" si="117"/>
        <v>665</v>
      </c>
    </row>
    <row r="1463" spans="1:26" ht="14.1" customHeight="1">
      <c r="A1463" s="144">
        <v>1501</v>
      </c>
      <c r="B1463" s="525" t="s">
        <v>227</v>
      </c>
      <c r="C1463" s="159" t="s">
        <v>425</v>
      </c>
      <c r="D1463" s="132" t="s">
        <v>98</v>
      </c>
      <c r="E1463" s="702" t="s">
        <v>305</v>
      </c>
      <c r="F1463" s="160" t="s">
        <v>470</v>
      </c>
      <c r="G1463" s="4" t="s">
        <v>221</v>
      </c>
      <c r="H1463" s="160" t="s">
        <v>334</v>
      </c>
      <c r="I1463" s="582" t="str">
        <f>VLOOKUP(H1463,'9a-Typen vloeren'!$A$10:$B$40,2,FALSE)</f>
        <v>n.v.t.</v>
      </c>
      <c r="J1463" s="584">
        <v>100.75</v>
      </c>
      <c r="K1463" s="433">
        <f t="shared" si="118"/>
        <v>0</v>
      </c>
      <c r="L1463" s="433">
        <f t="shared" si="119"/>
        <v>0</v>
      </c>
      <c r="M1463" s="433">
        <f t="shared" si="120"/>
        <v>0</v>
      </c>
      <c r="N1463" s="672"/>
      <c r="O1463" s="729">
        <f>IF(N1463="",0,N1463*K1463/'9b-Vloeronderhoud'!$F$4)</f>
        <v>0</v>
      </c>
      <c r="P1463" s="672"/>
      <c r="Q1463" s="729" t="e">
        <f>IF(O1463="",0,P1463*L1463/'9b-Vloeronderhoud'!$F$6)</f>
        <v>#DIV/0!</v>
      </c>
      <c r="R1463" s="449">
        <v>1</v>
      </c>
      <c r="S1463" s="672">
        <v>80</v>
      </c>
      <c r="T1463" s="161" t="e">
        <f t="shared" si="116"/>
        <v>#DIV/0!</v>
      </c>
      <c r="U1463" s="162">
        <f>IF(S1463="nio",0,IF(S1463&gt;0,VLOOKUP(G1463,'3-Productie normen'!A:K,VLOOKUP(S1463,'3-Productie normen'!L:N,3,FALSE),FALSE)))</f>
        <v>0</v>
      </c>
      <c r="V1463" s="162">
        <f>VLOOKUP(G1463,'3-Productie normen'!A:K,10,FALSE)</f>
        <v>16013.110036668773</v>
      </c>
      <c r="W1463" s="163">
        <f>VLOOKUP(G1463,'3-Productie normen'!A:K,11,FALSE)</f>
        <v>0</v>
      </c>
      <c r="X1463" s="163"/>
      <c r="Z1463" s="129">
        <f t="shared" si="117"/>
        <v>8060</v>
      </c>
    </row>
    <row r="1464" spans="1:26" ht="14.1" customHeight="1">
      <c r="A1464" s="144">
        <v>1502</v>
      </c>
      <c r="B1464" s="525" t="s">
        <v>227</v>
      </c>
      <c r="C1464" s="159" t="s">
        <v>425</v>
      </c>
      <c r="D1464" s="132" t="s">
        <v>98</v>
      </c>
      <c r="E1464" s="702" t="s">
        <v>306</v>
      </c>
      <c r="F1464" s="160" t="s">
        <v>283</v>
      </c>
      <c r="G1464" s="460" t="s">
        <v>286</v>
      </c>
      <c r="H1464" s="160" t="s">
        <v>100</v>
      </c>
      <c r="I1464" s="582" t="str">
        <f>VLOOKUP(H1464,'9a-Typen vloeren'!$A$10:$B$40,2,FALSE)</f>
        <v>Sprayen/ conserveren</v>
      </c>
      <c r="J1464" s="584">
        <v>11.899999618530273</v>
      </c>
      <c r="K1464" s="433">
        <f t="shared" si="118"/>
        <v>11.899999618530273</v>
      </c>
      <c r="L1464" s="433">
        <f t="shared" si="119"/>
        <v>0</v>
      </c>
      <c r="M1464" s="433">
        <f t="shared" si="120"/>
        <v>0</v>
      </c>
      <c r="N1464" s="672">
        <v>2</v>
      </c>
      <c r="O1464" s="729" t="e">
        <f>IF(N1464="",0,N1464*K1464/'9b-Vloeronderhoud'!$F$4)</f>
        <v>#DIV/0!</v>
      </c>
      <c r="P1464" s="672"/>
      <c r="Q1464" s="729" t="e">
        <f>IF(O1464="",0,P1464*L1464/'9b-Vloeronderhoud'!$F$6)</f>
        <v>#DIV/0!</v>
      </c>
      <c r="R1464" s="449">
        <v>1</v>
      </c>
      <c r="S1464" s="672">
        <v>120</v>
      </c>
      <c r="T1464" s="161" t="e">
        <f t="shared" si="116"/>
        <v>#DIV/0!</v>
      </c>
      <c r="U1464" s="162">
        <f>IF(S1464="nio",0,IF(S1464&gt;0,VLOOKUP(G1464,'3-Productie normen'!A:K,VLOOKUP(S1464,'3-Productie normen'!L:N,3,FALSE),FALSE)))</f>
        <v>0</v>
      </c>
      <c r="V1464" s="162">
        <f>VLOOKUP(G1464,'3-Productie normen'!A:K,10,FALSE)</f>
        <v>6152.9500017547598</v>
      </c>
      <c r="W1464" s="163">
        <f>VLOOKUP(G1464,'3-Productie normen'!A:K,11,FALSE)</f>
        <v>0</v>
      </c>
      <c r="X1464" s="163"/>
      <c r="Z1464" s="129">
        <f t="shared" si="117"/>
        <v>1427.9999542236328</v>
      </c>
    </row>
    <row r="1465" spans="1:26" ht="14.1" customHeight="1">
      <c r="A1465" s="144">
        <v>1503</v>
      </c>
      <c r="B1465" s="525" t="s">
        <v>227</v>
      </c>
      <c r="C1465" s="159" t="s">
        <v>425</v>
      </c>
      <c r="D1465" s="132" t="s">
        <v>98</v>
      </c>
      <c r="E1465" s="702" t="s">
        <v>307</v>
      </c>
      <c r="F1465" s="160" t="s">
        <v>221</v>
      </c>
      <c r="G1465" s="303" t="s">
        <v>221</v>
      </c>
      <c r="H1465" s="160" t="s">
        <v>100</v>
      </c>
      <c r="I1465" s="582" t="str">
        <f>VLOOKUP(H1465,'9a-Typen vloeren'!$A$10:$B$40,2,FALSE)</f>
        <v>Sprayen/ conserveren</v>
      </c>
      <c r="J1465" s="584">
        <v>42.849998474121094</v>
      </c>
      <c r="K1465" s="433">
        <f t="shared" si="118"/>
        <v>42.849998474121094</v>
      </c>
      <c r="L1465" s="433">
        <f t="shared" si="119"/>
        <v>0</v>
      </c>
      <c r="M1465" s="433">
        <f t="shared" si="120"/>
        <v>0</v>
      </c>
      <c r="N1465" s="672"/>
      <c r="O1465" s="729">
        <f>IF(N1465="",0,N1465*K1465/'9b-Vloeronderhoud'!$F$4)</f>
        <v>0</v>
      </c>
      <c r="P1465" s="672"/>
      <c r="Q1465" s="729" t="e">
        <f>IF(O1465="",0,P1465*L1465/'9b-Vloeronderhoud'!$F$6)</f>
        <v>#DIV/0!</v>
      </c>
      <c r="R1465" s="449">
        <v>1</v>
      </c>
      <c r="S1465" s="688" t="s">
        <v>179</v>
      </c>
      <c r="T1465" s="161">
        <f t="shared" si="116"/>
        <v>0</v>
      </c>
      <c r="U1465" s="162">
        <f>IF(S1465="nio",0,IF(S1465&gt;0,VLOOKUP(G1465,'3-Productie normen'!A:K,VLOOKUP(S1465,'3-Productie normen'!L:N,3,FALSE),FALSE)))</f>
        <v>0</v>
      </c>
      <c r="V1465" s="162">
        <f>VLOOKUP(G1465,'3-Productie normen'!A:K,10,FALSE)</f>
        <v>16013.110036668773</v>
      </c>
      <c r="W1465" s="163">
        <f>VLOOKUP(G1465,'3-Productie normen'!A:K,11,FALSE)</f>
        <v>0</v>
      </c>
      <c r="X1465" s="163"/>
      <c r="Z1465" s="129">
        <f t="shared" si="117"/>
        <v>0</v>
      </c>
    </row>
    <row r="1466" spans="1:26" ht="14.1" customHeight="1">
      <c r="A1466" s="144">
        <v>1504</v>
      </c>
      <c r="B1466" s="525" t="s">
        <v>227</v>
      </c>
      <c r="C1466" s="159" t="s">
        <v>425</v>
      </c>
      <c r="D1466" s="132" t="s">
        <v>98</v>
      </c>
      <c r="E1466" s="702" t="s">
        <v>308</v>
      </c>
      <c r="F1466" s="166" t="s">
        <v>282</v>
      </c>
      <c r="G1466" s="460" t="s">
        <v>881</v>
      </c>
      <c r="H1466" s="160" t="s">
        <v>100</v>
      </c>
      <c r="I1466" s="582" t="str">
        <f>VLOOKUP(H1466,'9a-Typen vloeren'!$A$10:$B$40,2,FALSE)</f>
        <v>Sprayen/ conserveren</v>
      </c>
      <c r="J1466" s="584">
        <v>3.3499999046325684</v>
      </c>
      <c r="K1466" s="433">
        <f t="shared" si="118"/>
        <v>0</v>
      </c>
      <c r="L1466" s="433">
        <f t="shared" si="119"/>
        <v>0</v>
      </c>
      <c r="M1466" s="433">
        <f t="shared" si="120"/>
        <v>0</v>
      </c>
      <c r="N1466" s="672"/>
      <c r="O1466" s="729">
        <f>IF(N1466="",0,N1466*K1466/'9b-Vloeronderhoud'!$F$4)</f>
        <v>0</v>
      </c>
      <c r="P1466" s="672"/>
      <c r="Q1466" s="729" t="e">
        <f>IF(O1466="",0,P1466*L1466/'9b-Vloeronderhoud'!$F$6)</f>
        <v>#DIV/0!</v>
      </c>
      <c r="R1466" s="449">
        <v>1</v>
      </c>
      <c r="S1466" s="672" t="s">
        <v>179</v>
      </c>
      <c r="T1466" s="161">
        <f t="shared" si="116"/>
        <v>0</v>
      </c>
      <c r="U1466" s="162">
        <f>IF(S1466="nio",0,IF(S1466&gt;0,VLOOKUP(G1466,'3-Productie normen'!A:K,VLOOKUP(S1466,'3-Productie normen'!L:N,3,FALSE),FALSE)))</f>
        <v>0</v>
      </c>
      <c r="V1466" s="162">
        <f>VLOOKUP(G1466,'3-Productie normen'!A:K,10,FALSE)</f>
        <v>5262.809993648526</v>
      </c>
      <c r="W1466" s="163">
        <f>VLOOKUP(G1466,'3-Productie normen'!A:K,11,FALSE)</f>
        <v>0</v>
      </c>
      <c r="X1466" s="163"/>
      <c r="Z1466" s="129">
        <f t="shared" si="117"/>
        <v>0</v>
      </c>
    </row>
    <row r="1467" spans="1:26" ht="14.1" customHeight="1">
      <c r="A1467" s="144">
        <v>1505</v>
      </c>
      <c r="B1467" s="525" t="s">
        <v>227</v>
      </c>
      <c r="C1467" s="159" t="s">
        <v>425</v>
      </c>
      <c r="D1467" s="132" t="s">
        <v>98</v>
      </c>
      <c r="E1467" s="702" t="s">
        <v>309</v>
      </c>
      <c r="F1467" s="160" t="s">
        <v>221</v>
      </c>
      <c r="G1467" s="460" t="s">
        <v>421</v>
      </c>
      <c r="H1467" s="160" t="s">
        <v>100</v>
      </c>
      <c r="I1467" s="582" t="str">
        <f>VLOOKUP(H1467,'9a-Typen vloeren'!$A$10:$B$40,2,FALSE)</f>
        <v>Sprayen/ conserveren</v>
      </c>
      <c r="J1467" s="584">
        <v>54.700000762939453</v>
      </c>
      <c r="K1467" s="433">
        <f t="shared" si="118"/>
        <v>54.700000762939453</v>
      </c>
      <c r="L1467" s="433">
        <f t="shared" si="119"/>
        <v>0</v>
      </c>
      <c r="M1467" s="433">
        <f t="shared" si="120"/>
        <v>0</v>
      </c>
      <c r="N1467" s="672"/>
      <c r="O1467" s="729">
        <f>IF(N1467="",0,N1467*K1467/'9b-Vloeronderhoud'!$F$4)</f>
        <v>0</v>
      </c>
      <c r="P1467" s="672"/>
      <c r="Q1467" s="729" t="e">
        <f>IF(O1467="",0,P1467*L1467/'9b-Vloeronderhoud'!$F$6)</f>
        <v>#DIV/0!</v>
      </c>
      <c r="R1467" s="449">
        <v>1</v>
      </c>
      <c r="S1467" s="672">
        <v>40</v>
      </c>
      <c r="T1467" s="161" t="e">
        <f t="shared" si="116"/>
        <v>#DIV/0!</v>
      </c>
      <c r="U1467" s="162">
        <f>IF(S1467="nio",0,IF(S1467&gt;0,VLOOKUP(G1467,'3-Productie normen'!A:K,VLOOKUP(S1467,'3-Productie normen'!L:N,3,FALSE),FALSE)))</f>
        <v>0</v>
      </c>
      <c r="V1467" s="162">
        <f>VLOOKUP(G1467,'3-Productie normen'!A:K,10,FALSE)</f>
        <v>865.11000061035156</v>
      </c>
      <c r="W1467" s="163">
        <f>VLOOKUP(G1467,'3-Productie normen'!A:K,11,FALSE)</f>
        <v>0</v>
      </c>
      <c r="X1467" s="163"/>
      <c r="Z1467" s="129">
        <f t="shared" si="117"/>
        <v>2188.0000305175781</v>
      </c>
    </row>
    <row r="1468" spans="1:26" ht="14.1" customHeight="1">
      <c r="A1468" s="144">
        <v>1506</v>
      </c>
      <c r="B1468" s="525" t="s">
        <v>227</v>
      </c>
      <c r="C1468" s="159" t="s">
        <v>425</v>
      </c>
      <c r="D1468" s="132" t="s">
        <v>98</v>
      </c>
      <c r="E1468" s="702" t="s">
        <v>310</v>
      </c>
      <c r="F1468" s="160" t="s">
        <v>282</v>
      </c>
      <c r="G1468" s="460" t="s">
        <v>881</v>
      </c>
      <c r="H1468" s="160" t="s">
        <v>100</v>
      </c>
      <c r="I1468" s="582" t="str">
        <f>VLOOKUP(H1468,'9a-Typen vloeren'!$A$10:$B$40,2,FALSE)</f>
        <v>Sprayen/ conserveren</v>
      </c>
      <c r="J1468" s="584">
        <v>3.3499999046325684</v>
      </c>
      <c r="K1468" s="433">
        <f t="shared" si="118"/>
        <v>0</v>
      </c>
      <c r="L1468" s="433">
        <f t="shared" si="119"/>
        <v>0</v>
      </c>
      <c r="M1468" s="433">
        <f t="shared" si="120"/>
        <v>0</v>
      </c>
      <c r="N1468" s="672"/>
      <c r="O1468" s="729">
        <f>IF(N1468="",0,N1468*K1468/'9b-Vloeronderhoud'!$F$4)</f>
        <v>0</v>
      </c>
      <c r="P1468" s="672"/>
      <c r="Q1468" s="729" t="e">
        <f>IF(O1468="",0,P1468*L1468/'9b-Vloeronderhoud'!$F$6)</f>
        <v>#DIV/0!</v>
      </c>
      <c r="R1468" s="449">
        <v>1</v>
      </c>
      <c r="S1468" s="672" t="s">
        <v>179</v>
      </c>
      <c r="T1468" s="161">
        <f t="shared" si="116"/>
        <v>0</v>
      </c>
      <c r="U1468" s="162">
        <f>IF(S1468="nio",0,IF(S1468&gt;0,VLOOKUP(G1468,'3-Productie normen'!A:K,VLOOKUP(S1468,'3-Productie normen'!L:N,3,FALSE),FALSE)))</f>
        <v>0</v>
      </c>
      <c r="V1468" s="162">
        <f>VLOOKUP(G1468,'3-Productie normen'!A:K,10,FALSE)</f>
        <v>5262.809993648526</v>
      </c>
      <c r="W1468" s="163">
        <f>VLOOKUP(G1468,'3-Productie normen'!A:K,11,FALSE)</f>
        <v>0</v>
      </c>
      <c r="X1468" s="163"/>
      <c r="Z1468" s="129">
        <f t="shared" si="117"/>
        <v>0</v>
      </c>
    </row>
    <row r="1469" spans="1:26" ht="14.1" customHeight="1">
      <c r="A1469" s="144">
        <v>1507</v>
      </c>
      <c r="B1469" s="525" t="s">
        <v>227</v>
      </c>
      <c r="C1469" s="159" t="s">
        <v>425</v>
      </c>
      <c r="D1469" s="132" t="s">
        <v>98</v>
      </c>
      <c r="E1469" s="702" t="s">
        <v>311</v>
      </c>
      <c r="F1469" s="166" t="s">
        <v>283</v>
      </c>
      <c r="G1469" s="303" t="s">
        <v>286</v>
      </c>
      <c r="H1469" s="160" t="s">
        <v>100</v>
      </c>
      <c r="I1469" s="582" t="str">
        <f>VLOOKUP(H1469,'9a-Typen vloeren'!$A$10:$B$40,2,FALSE)</f>
        <v>Sprayen/ conserveren</v>
      </c>
      <c r="J1469" s="584">
        <v>4.8000001907348633</v>
      </c>
      <c r="K1469" s="433">
        <f t="shared" si="118"/>
        <v>4.8000001907348633</v>
      </c>
      <c r="L1469" s="433">
        <f t="shared" si="119"/>
        <v>0</v>
      </c>
      <c r="M1469" s="433">
        <f t="shared" si="120"/>
        <v>0</v>
      </c>
      <c r="N1469" s="672">
        <v>2</v>
      </c>
      <c r="O1469" s="729" t="e">
        <f>IF(N1469="",0,N1469*K1469/'9b-Vloeronderhoud'!$F$4)</f>
        <v>#DIV/0!</v>
      </c>
      <c r="P1469" s="672"/>
      <c r="Q1469" s="729" t="e">
        <f>IF(O1469="",0,P1469*L1469/'9b-Vloeronderhoud'!$F$6)</f>
        <v>#DIV/0!</v>
      </c>
      <c r="R1469" s="449">
        <v>1</v>
      </c>
      <c r="S1469" s="672">
        <v>120</v>
      </c>
      <c r="T1469" s="161" t="e">
        <f t="shared" si="116"/>
        <v>#DIV/0!</v>
      </c>
      <c r="U1469" s="162">
        <f>IF(S1469="nio",0,IF(S1469&gt;0,VLOOKUP(G1469,'3-Productie normen'!A:K,VLOOKUP(S1469,'3-Productie normen'!L:N,3,FALSE),FALSE)))</f>
        <v>0</v>
      </c>
      <c r="V1469" s="162">
        <f>VLOOKUP(G1469,'3-Productie normen'!A:K,10,FALSE)</f>
        <v>6152.9500017547598</v>
      </c>
      <c r="W1469" s="163">
        <f>VLOOKUP(G1469,'3-Productie normen'!A:K,11,FALSE)</f>
        <v>0</v>
      </c>
      <c r="X1469" s="163"/>
      <c r="Z1469" s="129">
        <f t="shared" si="117"/>
        <v>576.00002288818359</v>
      </c>
    </row>
    <row r="1470" spans="1:26" ht="14.1" customHeight="1">
      <c r="A1470" s="144">
        <v>1508</v>
      </c>
      <c r="B1470" s="525" t="s">
        <v>227</v>
      </c>
      <c r="C1470" s="159" t="s">
        <v>425</v>
      </c>
      <c r="D1470" s="132" t="s">
        <v>98</v>
      </c>
      <c r="E1470" s="702" t="s">
        <v>312</v>
      </c>
      <c r="F1470" s="126" t="s">
        <v>313</v>
      </c>
      <c r="G1470" s="460" t="s">
        <v>881</v>
      </c>
      <c r="H1470" s="160" t="s">
        <v>100</v>
      </c>
      <c r="I1470" s="582" t="str">
        <f>VLOOKUP(H1470,'9a-Typen vloeren'!$A$10:$B$40,2,FALSE)</f>
        <v>Sprayen/ conserveren</v>
      </c>
      <c r="J1470" s="584">
        <v>7.8499999046325684</v>
      </c>
      <c r="K1470" s="433">
        <f t="shared" si="118"/>
        <v>0</v>
      </c>
      <c r="L1470" s="433">
        <f t="shared" si="119"/>
        <v>0</v>
      </c>
      <c r="M1470" s="433">
        <f t="shared" si="120"/>
        <v>0</v>
      </c>
      <c r="N1470" s="672"/>
      <c r="O1470" s="729">
        <f>IF(N1470="",0,N1470*K1470/'9b-Vloeronderhoud'!$F$4)</f>
        <v>0</v>
      </c>
      <c r="P1470" s="672"/>
      <c r="Q1470" s="729" t="e">
        <f>IF(O1470="",0,P1470*L1470/'9b-Vloeronderhoud'!$F$6)</f>
        <v>#DIV/0!</v>
      </c>
      <c r="R1470" s="449">
        <v>1</v>
      </c>
      <c r="S1470" s="672" t="s">
        <v>179</v>
      </c>
      <c r="T1470" s="161">
        <f t="shared" si="116"/>
        <v>0</v>
      </c>
      <c r="U1470" s="162">
        <f>IF(S1470="nio",0,IF(S1470&gt;0,VLOOKUP(G1470,'3-Productie normen'!A:K,VLOOKUP(S1470,'3-Productie normen'!L:N,3,FALSE),FALSE)))</f>
        <v>0</v>
      </c>
      <c r="V1470" s="162">
        <f>VLOOKUP(G1470,'3-Productie normen'!A:K,10,FALSE)</f>
        <v>5262.809993648526</v>
      </c>
      <c r="W1470" s="163">
        <f>VLOOKUP(G1470,'3-Productie normen'!A:K,11,FALSE)</f>
        <v>0</v>
      </c>
      <c r="X1470" s="163"/>
      <c r="Z1470" s="129">
        <f t="shared" si="117"/>
        <v>0</v>
      </c>
    </row>
    <row r="1471" spans="1:26" ht="14.1" customHeight="1">
      <c r="A1471" s="144">
        <v>1509</v>
      </c>
      <c r="B1471" s="525" t="s">
        <v>227</v>
      </c>
      <c r="C1471" s="159" t="s">
        <v>425</v>
      </c>
      <c r="D1471" s="132" t="s">
        <v>98</v>
      </c>
      <c r="E1471" s="702" t="s">
        <v>314</v>
      </c>
      <c r="F1471" s="126" t="s">
        <v>302</v>
      </c>
      <c r="G1471" s="303" t="s">
        <v>18</v>
      </c>
      <c r="H1471" s="303" t="s">
        <v>955</v>
      </c>
      <c r="I1471" s="582" t="str">
        <f>VLOOKUP(H1471,'9a-Typen vloeren'!$A$10:$B$40,2,FALSE)</f>
        <v>zie kwaliteitsontwerp</v>
      </c>
      <c r="J1471" s="584">
        <v>6.5999999046325684</v>
      </c>
      <c r="K1471" s="433">
        <f t="shared" si="118"/>
        <v>0</v>
      </c>
      <c r="L1471" s="433">
        <f t="shared" si="119"/>
        <v>0</v>
      </c>
      <c r="M1471" s="433">
        <f t="shared" si="120"/>
        <v>0</v>
      </c>
      <c r="N1471" s="672"/>
      <c r="O1471" s="729">
        <f>IF(N1471="",0,N1471*K1471/'9b-Vloeronderhoud'!$F$4)</f>
        <v>0</v>
      </c>
      <c r="P1471" s="672"/>
      <c r="Q1471" s="729" t="e">
        <f>IF(O1471="",0,P1471*L1471/'9b-Vloeronderhoud'!$F$6)</f>
        <v>#DIV/0!</v>
      </c>
      <c r="R1471" s="449">
        <v>1</v>
      </c>
      <c r="S1471" s="672">
        <v>190</v>
      </c>
      <c r="T1471" s="161" t="e">
        <f t="shared" si="116"/>
        <v>#DIV/0!</v>
      </c>
      <c r="U1471" s="162">
        <f>IF(S1471="nio",0,IF(S1471&gt;0,VLOOKUP(G1471,'3-Productie normen'!A:K,VLOOKUP(S1471,'3-Productie normen'!L:N,3,FALSE),FALSE)))</f>
        <v>0</v>
      </c>
      <c r="V1471" s="162">
        <f>VLOOKUP(G1471,'3-Productie normen'!A:K,10,FALSE)</f>
        <v>1859.5880019121171</v>
      </c>
      <c r="W1471" s="163">
        <f>VLOOKUP(G1471,'3-Productie normen'!A:K,11,FALSE)</f>
        <v>0</v>
      </c>
      <c r="X1471" s="163"/>
      <c r="Z1471" s="129">
        <f t="shared" si="117"/>
        <v>1253.999981880188</v>
      </c>
    </row>
    <row r="1472" spans="1:26" ht="14.1" customHeight="1">
      <c r="A1472" s="144">
        <v>1510</v>
      </c>
      <c r="B1472" s="525" t="s">
        <v>227</v>
      </c>
      <c r="C1472" s="159" t="s">
        <v>425</v>
      </c>
      <c r="D1472" s="132" t="s">
        <v>98</v>
      </c>
      <c r="E1472" s="702" t="s">
        <v>315</v>
      </c>
      <c r="F1472" s="126" t="s">
        <v>316</v>
      </c>
      <c r="G1472" s="460" t="s">
        <v>881</v>
      </c>
      <c r="H1472" s="160" t="s">
        <v>100</v>
      </c>
      <c r="I1472" s="582" t="str">
        <f>VLOOKUP(H1472,'9a-Typen vloeren'!$A$10:$B$40,2,FALSE)</f>
        <v>Sprayen/ conserveren</v>
      </c>
      <c r="J1472" s="584">
        <v>4.5500001907348633</v>
      </c>
      <c r="K1472" s="433">
        <f t="shared" si="118"/>
        <v>0</v>
      </c>
      <c r="L1472" s="433">
        <f t="shared" si="119"/>
        <v>0</v>
      </c>
      <c r="M1472" s="433">
        <f t="shared" si="120"/>
        <v>0</v>
      </c>
      <c r="N1472" s="672"/>
      <c r="O1472" s="729">
        <f>IF(N1472="",0,N1472*K1472/'9b-Vloeronderhoud'!$F$4)</f>
        <v>0</v>
      </c>
      <c r="P1472" s="672"/>
      <c r="Q1472" s="729" t="e">
        <f>IF(O1472="",0,P1472*L1472/'9b-Vloeronderhoud'!$F$6)</f>
        <v>#DIV/0!</v>
      </c>
      <c r="R1472" s="449">
        <v>1</v>
      </c>
      <c r="S1472" s="672" t="s">
        <v>179</v>
      </c>
      <c r="T1472" s="161">
        <f t="shared" si="116"/>
        <v>0</v>
      </c>
      <c r="U1472" s="162">
        <f>IF(S1472="nio",0,IF(S1472&gt;0,VLOOKUP(G1472,'3-Productie normen'!A:K,VLOOKUP(S1472,'3-Productie normen'!L:N,3,FALSE),FALSE)))</f>
        <v>0</v>
      </c>
      <c r="V1472" s="162">
        <f>VLOOKUP(G1472,'3-Productie normen'!A:K,10,FALSE)</f>
        <v>5262.809993648526</v>
      </c>
      <c r="W1472" s="163">
        <f>VLOOKUP(G1472,'3-Productie normen'!A:K,11,FALSE)</f>
        <v>0</v>
      </c>
      <c r="X1472" s="163"/>
      <c r="Z1472" s="129">
        <f t="shared" si="117"/>
        <v>0</v>
      </c>
    </row>
    <row r="1473" spans="1:26" ht="14.1" customHeight="1">
      <c r="A1473" s="144">
        <v>1511</v>
      </c>
      <c r="B1473" s="525" t="s">
        <v>227</v>
      </c>
      <c r="C1473" s="159" t="s">
        <v>425</v>
      </c>
      <c r="D1473" s="132" t="s">
        <v>98</v>
      </c>
      <c r="E1473" s="702" t="s">
        <v>317</v>
      </c>
      <c r="F1473" s="126" t="s">
        <v>551</v>
      </c>
      <c r="G1473" s="303" t="s">
        <v>285</v>
      </c>
      <c r="H1473" s="160" t="s">
        <v>100</v>
      </c>
      <c r="I1473" s="582" t="str">
        <f>VLOOKUP(H1473,'9a-Typen vloeren'!$A$10:$B$40,2,FALSE)</f>
        <v>Sprayen/ conserveren</v>
      </c>
      <c r="J1473" s="584">
        <v>58.799999237060547</v>
      </c>
      <c r="K1473" s="433">
        <f t="shared" si="118"/>
        <v>58.799999237060547</v>
      </c>
      <c r="L1473" s="433">
        <f t="shared" si="119"/>
        <v>0</v>
      </c>
      <c r="M1473" s="433">
        <f t="shared" si="120"/>
        <v>0</v>
      </c>
      <c r="N1473" s="672"/>
      <c r="O1473" s="729">
        <f>IF(N1473="",0,N1473*K1473/'9b-Vloeronderhoud'!$F$4)</f>
        <v>0</v>
      </c>
      <c r="P1473" s="672"/>
      <c r="Q1473" s="729" t="e">
        <f>IF(O1473="",0,P1473*L1473/'9b-Vloeronderhoud'!$F$6)</f>
        <v>#DIV/0!</v>
      </c>
      <c r="R1473" s="449">
        <v>1</v>
      </c>
      <c r="S1473" s="672">
        <v>190</v>
      </c>
      <c r="T1473" s="161" t="e">
        <f t="shared" si="116"/>
        <v>#DIV/0!</v>
      </c>
      <c r="U1473" s="162">
        <f>IF(S1473="nio",0,IF(S1473&gt;0,VLOOKUP(G1473,'3-Productie normen'!A:K,VLOOKUP(S1473,'3-Productie normen'!L:N,3,FALSE),FALSE)))</f>
        <v>0</v>
      </c>
      <c r="V1473" s="162">
        <f>VLOOKUP(G1473,'3-Productie normen'!A:K,10,FALSE)</f>
        <v>3305.8200070953367</v>
      </c>
      <c r="W1473" s="163">
        <f>VLOOKUP(G1473,'3-Productie normen'!A:K,11,FALSE)</f>
        <v>0</v>
      </c>
      <c r="X1473" s="163"/>
      <c r="Z1473" s="129">
        <f t="shared" si="117"/>
        <v>11171.999855041504</v>
      </c>
    </row>
    <row r="1474" spans="1:26" ht="14.1" customHeight="1">
      <c r="A1474" s="144">
        <v>1512</v>
      </c>
      <c r="B1474" s="525" t="s">
        <v>227</v>
      </c>
      <c r="C1474" s="159" t="s">
        <v>425</v>
      </c>
      <c r="D1474" s="132" t="s">
        <v>98</v>
      </c>
      <c r="E1474" s="702" t="s">
        <v>318</v>
      </c>
      <c r="F1474" s="126" t="s">
        <v>302</v>
      </c>
      <c r="G1474" s="460" t="s">
        <v>18</v>
      </c>
      <c r="H1474" s="303" t="s">
        <v>955</v>
      </c>
      <c r="I1474" s="582" t="str">
        <f>VLOOKUP(H1474,'9a-Typen vloeren'!$A$10:$B$40,2,FALSE)</f>
        <v>zie kwaliteitsontwerp</v>
      </c>
      <c r="J1474" s="584">
        <v>7.5500001907348633</v>
      </c>
      <c r="K1474" s="433">
        <f t="shared" si="118"/>
        <v>0</v>
      </c>
      <c r="L1474" s="433">
        <f t="shared" si="119"/>
        <v>0</v>
      </c>
      <c r="M1474" s="433">
        <f t="shared" si="120"/>
        <v>0</v>
      </c>
      <c r="N1474" s="672"/>
      <c r="O1474" s="729">
        <f>IF(N1474="",0,N1474*K1474/'9b-Vloeronderhoud'!$F$4)</f>
        <v>0</v>
      </c>
      <c r="P1474" s="672"/>
      <c r="Q1474" s="729" t="e">
        <f>IF(O1474="",0,P1474*L1474/'9b-Vloeronderhoud'!$F$6)</f>
        <v>#DIV/0!</v>
      </c>
      <c r="R1474" s="449">
        <v>1</v>
      </c>
      <c r="S1474" s="672">
        <v>190</v>
      </c>
      <c r="T1474" s="161" t="e">
        <f t="shared" si="116"/>
        <v>#DIV/0!</v>
      </c>
      <c r="U1474" s="162">
        <f>IF(S1474="nio",0,IF(S1474&gt;0,VLOOKUP(G1474,'3-Productie normen'!A:K,VLOOKUP(S1474,'3-Productie normen'!L:N,3,FALSE),FALSE)))</f>
        <v>0</v>
      </c>
      <c r="V1474" s="162">
        <f>VLOOKUP(G1474,'3-Productie normen'!A:K,10,FALSE)</f>
        <v>1859.5880019121171</v>
      </c>
      <c r="W1474" s="163">
        <f>VLOOKUP(G1474,'3-Productie normen'!A:K,11,FALSE)</f>
        <v>0</v>
      </c>
      <c r="X1474" s="163"/>
      <c r="Z1474" s="129">
        <f t="shared" si="117"/>
        <v>1434.500036239624</v>
      </c>
    </row>
    <row r="1475" spans="1:26" ht="14.1" customHeight="1">
      <c r="A1475" s="144">
        <v>1513</v>
      </c>
      <c r="B1475" s="525" t="s">
        <v>227</v>
      </c>
      <c r="C1475" s="159" t="s">
        <v>425</v>
      </c>
      <c r="D1475" s="132" t="s">
        <v>98</v>
      </c>
      <c r="E1475" s="702" t="s">
        <v>319</v>
      </c>
      <c r="F1475" s="126" t="s">
        <v>282</v>
      </c>
      <c r="G1475" s="460" t="s">
        <v>881</v>
      </c>
      <c r="H1475" s="160" t="s">
        <v>100</v>
      </c>
      <c r="I1475" s="582" t="str">
        <f>VLOOKUP(H1475,'9a-Typen vloeren'!$A$10:$B$40,2,FALSE)</f>
        <v>Sprayen/ conserveren</v>
      </c>
      <c r="J1475" s="584">
        <v>9.4499998092651367</v>
      </c>
      <c r="K1475" s="433">
        <f t="shared" si="118"/>
        <v>0</v>
      </c>
      <c r="L1475" s="433">
        <f t="shared" si="119"/>
        <v>0</v>
      </c>
      <c r="M1475" s="433">
        <f t="shared" si="120"/>
        <v>0</v>
      </c>
      <c r="N1475" s="672"/>
      <c r="O1475" s="729">
        <f>IF(N1475="",0,N1475*K1475/'9b-Vloeronderhoud'!$F$4)</f>
        <v>0</v>
      </c>
      <c r="P1475" s="672"/>
      <c r="Q1475" s="729" t="e">
        <f>IF(O1475="",0,P1475*L1475/'9b-Vloeronderhoud'!$F$6)</f>
        <v>#DIV/0!</v>
      </c>
      <c r="R1475" s="449">
        <v>1</v>
      </c>
      <c r="S1475" s="672" t="s">
        <v>179</v>
      </c>
      <c r="T1475" s="161">
        <f t="shared" si="116"/>
        <v>0</v>
      </c>
      <c r="U1475" s="162">
        <f>IF(S1475="nio",0,IF(S1475&gt;0,VLOOKUP(G1475,'3-Productie normen'!A:K,VLOOKUP(S1475,'3-Productie normen'!L:N,3,FALSE),FALSE)))</f>
        <v>0</v>
      </c>
      <c r="V1475" s="162">
        <f>VLOOKUP(G1475,'3-Productie normen'!A:K,10,FALSE)</f>
        <v>5262.809993648526</v>
      </c>
      <c r="W1475" s="163">
        <f>VLOOKUP(G1475,'3-Productie normen'!A:K,11,FALSE)</f>
        <v>0</v>
      </c>
      <c r="X1475" s="163"/>
      <c r="Z1475" s="129">
        <f t="shared" si="117"/>
        <v>0</v>
      </c>
    </row>
    <row r="1476" spans="1:26" ht="14.1" customHeight="1">
      <c r="A1476" s="144">
        <v>1514</v>
      </c>
      <c r="B1476" s="525" t="s">
        <v>227</v>
      </c>
      <c r="C1476" s="159" t="s">
        <v>425</v>
      </c>
      <c r="D1476" s="132" t="s">
        <v>98</v>
      </c>
      <c r="E1476" s="702" t="s">
        <v>320</v>
      </c>
      <c r="F1476" s="126" t="s">
        <v>551</v>
      </c>
      <c r="G1476" s="303" t="s">
        <v>285</v>
      </c>
      <c r="H1476" s="160" t="s">
        <v>100</v>
      </c>
      <c r="I1476" s="582" t="str">
        <f>VLOOKUP(H1476,'9a-Typen vloeren'!$A$10:$B$40,2,FALSE)</f>
        <v>Sprayen/ conserveren</v>
      </c>
      <c r="J1476" s="584">
        <v>58.799999237060547</v>
      </c>
      <c r="K1476" s="433">
        <f t="shared" si="118"/>
        <v>58.799999237060547</v>
      </c>
      <c r="L1476" s="433">
        <f t="shared" si="119"/>
        <v>0</v>
      </c>
      <c r="M1476" s="433">
        <f t="shared" si="120"/>
        <v>0</v>
      </c>
      <c r="N1476" s="672"/>
      <c r="O1476" s="729">
        <f>IF(N1476="",0,N1476*K1476/'9b-Vloeronderhoud'!$F$4)</f>
        <v>0</v>
      </c>
      <c r="P1476" s="672"/>
      <c r="Q1476" s="729" t="e">
        <f>IF(O1476="",0,P1476*L1476/'9b-Vloeronderhoud'!$F$6)</f>
        <v>#DIV/0!</v>
      </c>
      <c r="R1476" s="449">
        <v>1</v>
      </c>
      <c r="S1476" s="672">
        <v>190</v>
      </c>
      <c r="T1476" s="161" t="e">
        <f t="shared" si="116"/>
        <v>#DIV/0!</v>
      </c>
      <c r="U1476" s="162">
        <f>IF(S1476="nio",0,IF(S1476&gt;0,VLOOKUP(G1476,'3-Productie normen'!A:K,VLOOKUP(S1476,'3-Productie normen'!L:N,3,FALSE),FALSE)))</f>
        <v>0</v>
      </c>
      <c r="V1476" s="162">
        <f>VLOOKUP(G1476,'3-Productie normen'!A:K,10,FALSE)</f>
        <v>3305.8200070953367</v>
      </c>
      <c r="W1476" s="163">
        <f>VLOOKUP(G1476,'3-Productie normen'!A:K,11,FALSE)</f>
        <v>0</v>
      </c>
      <c r="X1476" s="163"/>
      <c r="Z1476" s="129">
        <f t="shared" si="117"/>
        <v>11171.999855041504</v>
      </c>
    </row>
    <row r="1477" spans="1:26" ht="14.1" customHeight="1">
      <c r="A1477" s="144">
        <v>1515</v>
      </c>
      <c r="B1477" s="525" t="s">
        <v>227</v>
      </c>
      <c r="C1477" s="159" t="s">
        <v>425</v>
      </c>
      <c r="D1477" s="132" t="s">
        <v>98</v>
      </c>
      <c r="E1477" s="702" t="s">
        <v>321</v>
      </c>
      <c r="F1477" s="126" t="s">
        <v>221</v>
      </c>
      <c r="G1477" s="126" t="s">
        <v>221</v>
      </c>
      <c r="H1477" s="160" t="s">
        <v>100</v>
      </c>
      <c r="I1477" s="582" t="str">
        <f>VLOOKUP(H1477,'9a-Typen vloeren'!$A$10:$B$40,2,FALSE)</f>
        <v>Sprayen/ conserveren</v>
      </c>
      <c r="J1477" s="584">
        <v>55.299999237060547</v>
      </c>
      <c r="K1477" s="433">
        <f t="shared" si="118"/>
        <v>55.299999237060547</v>
      </c>
      <c r="L1477" s="433">
        <f t="shared" si="119"/>
        <v>0</v>
      </c>
      <c r="M1477" s="433">
        <f t="shared" si="120"/>
        <v>0</v>
      </c>
      <c r="N1477" s="672"/>
      <c r="O1477" s="729">
        <f>IF(N1477="",0,N1477*K1477/'9b-Vloeronderhoud'!$F$4)</f>
        <v>0</v>
      </c>
      <c r="P1477" s="672"/>
      <c r="Q1477" s="729" t="e">
        <f>IF(O1477="",0,P1477*L1477/'9b-Vloeronderhoud'!$F$6)</f>
        <v>#DIV/0!</v>
      </c>
      <c r="R1477" s="449">
        <v>1</v>
      </c>
      <c r="S1477" s="672">
        <v>80</v>
      </c>
      <c r="T1477" s="161" t="e">
        <f t="shared" si="116"/>
        <v>#DIV/0!</v>
      </c>
      <c r="U1477" s="162">
        <f>IF(S1477="nio",0,IF(S1477&gt;0,VLOOKUP(G1477,'3-Productie normen'!A:K,VLOOKUP(S1477,'3-Productie normen'!L:N,3,FALSE),FALSE)))</f>
        <v>0</v>
      </c>
      <c r="V1477" s="162">
        <f>VLOOKUP(G1477,'3-Productie normen'!A:K,10,FALSE)</f>
        <v>16013.110036668773</v>
      </c>
      <c r="W1477" s="163">
        <f>VLOOKUP(G1477,'3-Productie normen'!A:K,11,FALSE)</f>
        <v>0</v>
      </c>
      <c r="X1477" s="163"/>
      <c r="Z1477" s="129">
        <f t="shared" si="117"/>
        <v>4423.9999389648438</v>
      </c>
    </row>
    <row r="1478" spans="1:26" ht="14.1" customHeight="1">
      <c r="A1478" s="144">
        <v>1516</v>
      </c>
      <c r="B1478" s="525" t="s">
        <v>227</v>
      </c>
      <c r="C1478" s="159" t="s">
        <v>425</v>
      </c>
      <c r="D1478" s="132" t="s">
        <v>98</v>
      </c>
      <c r="E1478" s="702" t="s">
        <v>322</v>
      </c>
      <c r="F1478" s="126" t="s">
        <v>282</v>
      </c>
      <c r="G1478" s="460" t="s">
        <v>881</v>
      </c>
      <c r="H1478" s="160" t="s">
        <v>100</v>
      </c>
      <c r="I1478" s="582" t="str">
        <f>VLOOKUP(H1478,'9a-Typen vloeren'!$A$10:$B$40,2,FALSE)</f>
        <v>Sprayen/ conserveren</v>
      </c>
      <c r="J1478" s="584">
        <v>1.8999999761581421</v>
      </c>
      <c r="K1478" s="433">
        <f t="shared" si="118"/>
        <v>0</v>
      </c>
      <c r="L1478" s="433">
        <f t="shared" si="119"/>
        <v>0</v>
      </c>
      <c r="M1478" s="433">
        <f t="shared" si="120"/>
        <v>0</v>
      </c>
      <c r="N1478" s="672"/>
      <c r="O1478" s="729">
        <f>IF(N1478="",0,N1478*K1478/'9b-Vloeronderhoud'!$F$4)</f>
        <v>0</v>
      </c>
      <c r="P1478" s="672"/>
      <c r="Q1478" s="729" t="e">
        <f>IF(O1478="",0,P1478*L1478/'9b-Vloeronderhoud'!$F$6)</f>
        <v>#DIV/0!</v>
      </c>
      <c r="R1478" s="449">
        <v>1</v>
      </c>
      <c r="S1478" s="672" t="s">
        <v>179</v>
      </c>
      <c r="T1478" s="161">
        <f t="shared" si="116"/>
        <v>0</v>
      </c>
      <c r="U1478" s="162">
        <f>IF(S1478="nio",0,IF(S1478&gt;0,VLOOKUP(G1478,'3-Productie normen'!A:K,VLOOKUP(S1478,'3-Productie normen'!L:N,3,FALSE),FALSE)))</f>
        <v>0</v>
      </c>
      <c r="V1478" s="162">
        <f>VLOOKUP(G1478,'3-Productie normen'!A:K,10,FALSE)</f>
        <v>5262.809993648526</v>
      </c>
      <c r="W1478" s="163">
        <f>VLOOKUP(G1478,'3-Productie normen'!A:K,11,FALSE)</f>
        <v>0</v>
      </c>
      <c r="X1478" s="163"/>
      <c r="Z1478" s="129">
        <f t="shared" si="117"/>
        <v>0</v>
      </c>
    </row>
    <row r="1479" spans="1:26" ht="14.1" customHeight="1">
      <c r="A1479" s="144">
        <v>1517</v>
      </c>
      <c r="B1479" s="525" t="s">
        <v>227</v>
      </c>
      <c r="C1479" s="159" t="s">
        <v>425</v>
      </c>
      <c r="D1479" s="132" t="s">
        <v>98</v>
      </c>
      <c r="E1479" s="702" t="s">
        <v>323</v>
      </c>
      <c r="F1479" s="126" t="s">
        <v>221</v>
      </c>
      <c r="G1479" s="460" t="s">
        <v>221</v>
      </c>
      <c r="H1479" s="160" t="s">
        <v>100</v>
      </c>
      <c r="I1479" s="582" t="str">
        <f>VLOOKUP(H1479,'9a-Typen vloeren'!$A$10:$B$40,2,FALSE)</f>
        <v>Sprayen/ conserveren</v>
      </c>
      <c r="J1479" s="584">
        <v>55.299999237060547</v>
      </c>
      <c r="K1479" s="433">
        <f t="shared" si="118"/>
        <v>55.299999237060547</v>
      </c>
      <c r="L1479" s="433">
        <f t="shared" si="119"/>
        <v>0</v>
      </c>
      <c r="M1479" s="433">
        <f t="shared" si="120"/>
        <v>0</v>
      </c>
      <c r="N1479" s="672"/>
      <c r="O1479" s="729">
        <f>IF(N1479="",0,N1479*K1479/'9b-Vloeronderhoud'!$F$4)</f>
        <v>0</v>
      </c>
      <c r="P1479" s="672"/>
      <c r="Q1479" s="729" t="e">
        <f>IF(O1479="",0,P1479*L1479/'9b-Vloeronderhoud'!$F$6)</f>
        <v>#DIV/0!</v>
      </c>
      <c r="R1479" s="449">
        <v>1</v>
      </c>
      <c r="S1479" s="672">
        <v>80</v>
      </c>
      <c r="T1479" s="161" t="e">
        <f t="shared" si="116"/>
        <v>#DIV/0!</v>
      </c>
      <c r="U1479" s="162">
        <f>IF(S1479="nio",0,IF(S1479&gt;0,VLOOKUP(G1479,'3-Productie normen'!A:K,VLOOKUP(S1479,'3-Productie normen'!L:N,3,FALSE),FALSE)))</f>
        <v>0</v>
      </c>
      <c r="V1479" s="162">
        <f>VLOOKUP(G1479,'3-Productie normen'!A:K,10,FALSE)</f>
        <v>16013.110036668773</v>
      </c>
      <c r="W1479" s="163">
        <f>VLOOKUP(G1479,'3-Productie normen'!A:K,11,FALSE)</f>
        <v>0</v>
      </c>
      <c r="X1479" s="163"/>
      <c r="Z1479" s="129">
        <f t="shared" si="117"/>
        <v>4423.9999389648438</v>
      </c>
    </row>
    <row r="1480" spans="1:26" ht="14.1" customHeight="1">
      <c r="A1480" s="144">
        <v>1518</v>
      </c>
      <c r="B1480" s="525" t="s">
        <v>227</v>
      </c>
      <c r="C1480" s="159" t="s">
        <v>425</v>
      </c>
      <c r="D1480" s="132" t="s">
        <v>98</v>
      </c>
      <c r="E1480" s="702" t="s">
        <v>324</v>
      </c>
      <c r="F1480" s="126" t="s">
        <v>282</v>
      </c>
      <c r="G1480" s="460" t="s">
        <v>881</v>
      </c>
      <c r="H1480" s="160" t="s">
        <v>334</v>
      </c>
      <c r="I1480" s="582" t="str">
        <f>VLOOKUP(H1480,'9a-Typen vloeren'!$A$10:$B$40,2,FALSE)</f>
        <v>n.v.t.</v>
      </c>
      <c r="J1480" s="584">
        <v>1.8999999761581421</v>
      </c>
      <c r="K1480" s="433">
        <f t="shared" si="118"/>
        <v>0</v>
      </c>
      <c r="L1480" s="433">
        <f t="shared" si="119"/>
        <v>0</v>
      </c>
      <c r="M1480" s="433">
        <f t="shared" si="120"/>
        <v>0</v>
      </c>
      <c r="N1480" s="672"/>
      <c r="O1480" s="729">
        <f>IF(N1480="",0,N1480*K1480/'9b-Vloeronderhoud'!$F$4)</f>
        <v>0</v>
      </c>
      <c r="P1480" s="672"/>
      <c r="Q1480" s="729" t="e">
        <f>IF(O1480="",0,P1480*L1480/'9b-Vloeronderhoud'!$F$6)</f>
        <v>#DIV/0!</v>
      </c>
      <c r="R1480" s="449">
        <v>1</v>
      </c>
      <c r="S1480" s="672" t="s">
        <v>179</v>
      </c>
      <c r="T1480" s="161">
        <f t="shared" si="116"/>
        <v>0</v>
      </c>
      <c r="U1480" s="162">
        <f>IF(S1480="nio",0,IF(S1480&gt;0,VLOOKUP(G1480,'3-Productie normen'!A:K,VLOOKUP(S1480,'3-Productie normen'!L:N,3,FALSE),FALSE)))</f>
        <v>0</v>
      </c>
      <c r="V1480" s="162">
        <f>VLOOKUP(G1480,'3-Productie normen'!A:K,10,FALSE)</f>
        <v>5262.809993648526</v>
      </c>
      <c r="W1480" s="163">
        <f>VLOOKUP(G1480,'3-Productie normen'!A:K,11,FALSE)</f>
        <v>0</v>
      </c>
      <c r="X1480" s="163"/>
      <c r="Z1480" s="129">
        <f t="shared" si="117"/>
        <v>0</v>
      </c>
    </row>
    <row r="1481" spans="1:26" ht="14.1" customHeight="1">
      <c r="A1481" s="144">
        <v>1519</v>
      </c>
      <c r="B1481" s="485" t="s">
        <v>227</v>
      </c>
      <c r="C1481" s="159" t="s">
        <v>425</v>
      </c>
      <c r="D1481" s="132" t="s">
        <v>98</v>
      </c>
      <c r="E1481" s="702" t="s">
        <v>325</v>
      </c>
      <c r="F1481" s="126" t="s">
        <v>283</v>
      </c>
      <c r="G1481" s="122" t="s">
        <v>286</v>
      </c>
      <c r="H1481" s="516" t="s">
        <v>100</v>
      </c>
      <c r="I1481" s="582" t="str">
        <f>VLOOKUP(H1481,'9a-Typen vloeren'!$A$10:$B$40,2,FALSE)</f>
        <v>Sprayen/ conserveren</v>
      </c>
      <c r="J1481" s="584">
        <v>18.75</v>
      </c>
      <c r="K1481" s="433">
        <f t="shared" si="118"/>
        <v>18.75</v>
      </c>
      <c r="L1481" s="433">
        <f t="shared" si="119"/>
        <v>0</v>
      </c>
      <c r="M1481" s="433">
        <f t="shared" si="120"/>
        <v>0</v>
      </c>
      <c r="N1481" s="672">
        <v>2</v>
      </c>
      <c r="O1481" s="729" t="e">
        <f>IF(N1481="",0,N1481*K1481/'9b-Vloeronderhoud'!$F$4)</f>
        <v>#DIV/0!</v>
      </c>
      <c r="P1481" s="672"/>
      <c r="Q1481" s="729" t="e">
        <f>IF(O1481="",0,P1481*L1481/'9b-Vloeronderhoud'!$F$6)</f>
        <v>#DIV/0!</v>
      </c>
      <c r="R1481" s="449">
        <v>1</v>
      </c>
      <c r="S1481" s="672">
        <v>120</v>
      </c>
      <c r="T1481" s="161" t="e">
        <f t="shared" si="116"/>
        <v>#DIV/0!</v>
      </c>
      <c r="U1481" s="162">
        <f>IF(S1481="nio",0,IF(S1481&gt;0,VLOOKUP(G1481,'3-Productie normen'!A:K,VLOOKUP(S1481,'3-Productie normen'!L:N,3,FALSE),FALSE)))</f>
        <v>0</v>
      </c>
      <c r="V1481" s="162">
        <f>VLOOKUP(G1481,'3-Productie normen'!A:K,10,FALSE)</f>
        <v>6152.9500017547598</v>
      </c>
      <c r="W1481" s="163">
        <f>VLOOKUP(G1481,'3-Productie normen'!A:K,11,FALSE)</f>
        <v>0</v>
      </c>
      <c r="X1481" s="163"/>
      <c r="Z1481" s="129">
        <f t="shared" si="117"/>
        <v>2250</v>
      </c>
    </row>
    <row r="1482" spans="1:26" ht="14.1" customHeight="1">
      <c r="A1482" s="144">
        <v>1520</v>
      </c>
      <c r="B1482" s="485" t="s">
        <v>227</v>
      </c>
      <c r="C1482" s="159" t="s">
        <v>425</v>
      </c>
      <c r="D1482" s="132" t="s">
        <v>98</v>
      </c>
      <c r="E1482" s="702" t="s">
        <v>326</v>
      </c>
      <c r="F1482" s="126" t="s">
        <v>221</v>
      </c>
      <c r="G1482" s="460" t="s">
        <v>221</v>
      </c>
      <c r="H1482" s="516" t="s">
        <v>100</v>
      </c>
      <c r="I1482" s="582" t="str">
        <f>VLOOKUP(H1482,'9a-Typen vloeren'!$A$10:$B$40,2,FALSE)</f>
        <v>Sprayen/ conserveren</v>
      </c>
      <c r="J1482" s="584">
        <v>55.099998474121094</v>
      </c>
      <c r="K1482" s="433">
        <f t="shared" si="118"/>
        <v>55.099998474121094</v>
      </c>
      <c r="L1482" s="433">
        <f t="shared" si="119"/>
        <v>0</v>
      </c>
      <c r="M1482" s="433">
        <f t="shared" si="120"/>
        <v>0</v>
      </c>
      <c r="N1482" s="672"/>
      <c r="O1482" s="729">
        <f>IF(N1482="",0,N1482*K1482/'9b-Vloeronderhoud'!$F$4)</f>
        <v>0</v>
      </c>
      <c r="P1482" s="672"/>
      <c r="Q1482" s="729" t="e">
        <f>IF(O1482="",0,P1482*L1482/'9b-Vloeronderhoud'!$F$6)</f>
        <v>#DIV/0!</v>
      </c>
      <c r="R1482" s="449">
        <v>1</v>
      </c>
      <c r="S1482" s="672">
        <v>80</v>
      </c>
      <c r="T1482" s="161" t="e">
        <f t="shared" ref="T1482:T1545" si="121">IF(S1482="nio",0,IF(S1482&gt;0,S1482*J1482/U1482,0))*R1482</f>
        <v>#DIV/0!</v>
      </c>
      <c r="U1482" s="162">
        <f>IF(S1482="nio",0,IF(S1482&gt;0,VLOOKUP(G1482,'3-Productie normen'!A:K,VLOOKUP(S1482,'3-Productie normen'!L:N,3,FALSE),FALSE)))</f>
        <v>0</v>
      </c>
      <c r="V1482" s="162">
        <f>VLOOKUP(G1482,'3-Productie normen'!A:K,10,FALSE)</f>
        <v>16013.110036668773</v>
      </c>
      <c r="W1482" s="163">
        <f>VLOOKUP(G1482,'3-Productie normen'!A:K,11,FALSE)</f>
        <v>0</v>
      </c>
      <c r="X1482" s="163"/>
      <c r="Z1482" s="129">
        <f t="shared" ref="Z1482:Z1545" si="122">SUM(S1482:S1482)*J1482</f>
        <v>4407.9998779296875</v>
      </c>
    </row>
    <row r="1483" spans="1:26" ht="14.1" customHeight="1">
      <c r="A1483" s="144">
        <v>1521</v>
      </c>
      <c r="B1483" s="485" t="s">
        <v>227</v>
      </c>
      <c r="C1483" s="159" t="s">
        <v>425</v>
      </c>
      <c r="D1483" s="132" t="s">
        <v>98</v>
      </c>
      <c r="E1483" s="702" t="s">
        <v>327</v>
      </c>
      <c r="F1483" s="126" t="s">
        <v>282</v>
      </c>
      <c r="G1483" s="460" t="s">
        <v>881</v>
      </c>
      <c r="H1483" s="516" t="s">
        <v>100</v>
      </c>
      <c r="I1483" s="582" t="str">
        <f>VLOOKUP(H1483,'9a-Typen vloeren'!$A$10:$B$40,2,FALSE)</f>
        <v>Sprayen/ conserveren</v>
      </c>
      <c r="J1483" s="584">
        <v>2.5999999046325684</v>
      </c>
      <c r="K1483" s="433">
        <f t="shared" si="118"/>
        <v>0</v>
      </c>
      <c r="L1483" s="433">
        <f t="shared" si="119"/>
        <v>0</v>
      </c>
      <c r="M1483" s="433">
        <f t="shared" si="120"/>
        <v>0</v>
      </c>
      <c r="N1483" s="672"/>
      <c r="O1483" s="729">
        <f>IF(N1483="",0,N1483*K1483/'9b-Vloeronderhoud'!$F$4)</f>
        <v>0</v>
      </c>
      <c r="P1483" s="672"/>
      <c r="Q1483" s="729" t="e">
        <f>IF(O1483="",0,P1483*L1483/'9b-Vloeronderhoud'!$F$6)</f>
        <v>#DIV/0!</v>
      </c>
      <c r="R1483" s="449">
        <v>1</v>
      </c>
      <c r="S1483" s="672" t="s">
        <v>179</v>
      </c>
      <c r="T1483" s="161">
        <f t="shared" si="121"/>
        <v>0</v>
      </c>
      <c r="U1483" s="162">
        <f>IF(S1483="nio",0,IF(S1483&gt;0,VLOOKUP(G1483,'3-Productie normen'!A:K,VLOOKUP(S1483,'3-Productie normen'!L:N,3,FALSE),FALSE)))</f>
        <v>0</v>
      </c>
      <c r="V1483" s="162">
        <f>VLOOKUP(G1483,'3-Productie normen'!A:K,10,FALSE)</f>
        <v>5262.809993648526</v>
      </c>
      <c r="W1483" s="163">
        <f>VLOOKUP(G1483,'3-Productie normen'!A:K,11,FALSE)</f>
        <v>0</v>
      </c>
      <c r="X1483" s="163"/>
      <c r="Z1483" s="129">
        <f t="shared" si="122"/>
        <v>0</v>
      </c>
    </row>
    <row r="1484" spans="1:26" ht="14.1" customHeight="1">
      <c r="A1484" s="144">
        <v>1522</v>
      </c>
      <c r="B1484" s="485" t="s">
        <v>227</v>
      </c>
      <c r="C1484" s="159" t="s">
        <v>425</v>
      </c>
      <c r="D1484" s="132" t="s">
        <v>98</v>
      </c>
      <c r="E1484" s="702" t="s">
        <v>328</v>
      </c>
      <c r="F1484" s="126" t="s">
        <v>281</v>
      </c>
      <c r="G1484" s="460" t="s">
        <v>881</v>
      </c>
      <c r="H1484" s="516" t="s">
        <v>335</v>
      </c>
      <c r="I1484" s="582" t="str">
        <f>VLOOKUP(H1484,'9a-Typen vloeren'!$A$10:$B$40,2,FALSE)</f>
        <v>Schrobben</v>
      </c>
      <c r="J1484" s="584">
        <v>2</v>
      </c>
      <c r="K1484" s="433">
        <f t="shared" si="118"/>
        <v>0</v>
      </c>
      <c r="L1484" s="433">
        <f t="shared" si="119"/>
        <v>0</v>
      </c>
      <c r="M1484" s="433">
        <f t="shared" si="120"/>
        <v>0</v>
      </c>
      <c r="N1484" s="672"/>
      <c r="O1484" s="729">
        <f>IF(N1484="",0,N1484*K1484/'9b-Vloeronderhoud'!$F$4)</f>
        <v>0</v>
      </c>
      <c r="P1484" s="672"/>
      <c r="Q1484" s="729" t="e">
        <f>IF(O1484="",0,P1484*L1484/'9b-Vloeronderhoud'!$F$6)</f>
        <v>#DIV/0!</v>
      </c>
      <c r="R1484" s="449">
        <v>1</v>
      </c>
      <c r="S1484" s="672" t="s">
        <v>179</v>
      </c>
      <c r="T1484" s="161">
        <f t="shared" si="121"/>
        <v>0</v>
      </c>
      <c r="U1484" s="162">
        <f>IF(S1484="nio",0,IF(S1484&gt;0,VLOOKUP(G1484,'3-Productie normen'!A:K,VLOOKUP(S1484,'3-Productie normen'!L:N,3,FALSE),FALSE)))</f>
        <v>0</v>
      </c>
      <c r="V1484" s="162">
        <f>VLOOKUP(G1484,'3-Productie normen'!A:K,10,FALSE)</f>
        <v>5262.809993648526</v>
      </c>
      <c r="W1484" s="163">
        <f>VLOOKUP(G1484,'3-Productie normen'!A:K,11,FALSE)</f>
        <v>0</v>
      </c>
      <c r="X1484" s="163"/>
      <c r="Z1484" s="129">
        <f t="shared" si="122"/>
        <v>0</v>
      </c>
    </row>
    <row r="1485" spans="1:26" ht="14.1" customHeight="1">
      <c r="A1485" s="144">
        <v>1523</v>
      </c>
      <c r="B1485" s="485" t="s">
        <v>227</v>
      </c>
      <c r="C1485" s="159" t="s">
        <v>425</v>
      </c>
      <c r="D1485" s="132" t="s">
        <v>98</v>
      </c>
      <c r="E1485" s="702" t="s">
        <v>329</v>
      </c>
      <c r="F1485" s="126" t="s">
        <v>873</v>
      </c>
      <c r="G1485" s="122" t="s">
        <v>18</v>
      </c>
      <c r="H1485" s="303" t="s">
        <v>955</v>
      </c>
      <c r="I1485" s="582" t="str">
        <f>VLOOKUP(H1485,'9a-Typen vloeren'!$A$10:$B$40,2,FALSE)</f>
        <v>zie kwaliteitsontwerp</v>
      </c>
      <c r="J1485" s="584">
        <v>4.0500001907348633</v>
      </c>
      <c r="K1485" s="433">
        <f t="shared" si="118"/>
        <v>0</v>
      </c>
      <c r="L1485" s="433">
        <f t="shared" si="119"/>
        <v>0</v>
      </c>
      <c r="M1485" s="433">
        <f t="shared" si="120"/>
        <v>0</v>
      </c>
      <c r="N1485" s="672"/>
      <c r="O1485" s="729">
        <f>IF(N1485="",0,N1485*K1485/'9b-Vloeronderhoud'!$F$4)</f>
        <v>0</v>
      </c>
      <c r="P1485" s="672"/>
      <c r="Q1485" s="729" t="e">
        <f>IF(O1485="",0,P1485*L1485/'9b-Vloeronderhoud'!$F$6)</f>
        <v>#DIV/0!</v>
      </c>
      <c r="R1485" s="449">
        <v>1</v>
      </c>
      <c r="S1485" s="672">
        <v>40</v>
      </c>
      <c r="T1485" s="161" t="e">
        <f t="shared" si="121"/>
        <v>#DIV/0!</v>
      </c>
      <c r="U1485" s="162">
        <f>IF(S1485="nio",0,IF(S1485&gt;0,VLOOKUP(G1485,'3-Productie normen'!A:K,VLOOKUP(S1485,'3-Productie normen'!L:N,3,FALSE),FALSE)))</f>
        <v>0</v>
      </c>
      <c r="V1485" s="162">
        <f>VLOOKUP(G1485,'3-Productie normen'!A:K,10,FALSE)</f>
        <v>1859.5880019121171</v>
      </c>
      <c r="W1485" s="163">
        <f>VLOOKUP(G1485,'3-Productie normen'!A:K,11,FALSE)</f>
        <v>0</v>
      </c>
      <c r="X1485" s="163"/>
      <c r="Z1485" s="129">
        <f t="shared" si="122"/>
        <v>162.00000762939453</v>
      </c>
    </row>
    <row r="1486" spans="1:26" ht="14.1" customHeight="1">
      <c r="A1486" s="144">
        <v>1524</v>
      </c>
      <c r="B1486" s="485" t="s">
        <v>227</v>
      </c>
      <c r="C1486" s="159" t="s">
        <v>425</v>
      </c>
      <c r="D1486" s="132" t="s">
        <v>98</v>
      </c>
      <c r="E1486" s="702" t="s">
        <v>330</v>
      </c>
      <c r="F1486" s="126" t="s">
        <v>302</v>
      </c>
      <c r="G1486" s="460" t="s">
        <v>18</v>
      </c>
      <c r="H1486" s="303" t="s">
        <v>955</v>
      </c>
      <c r="I1486" s="582" t="str">
        <f>VLOOKUP(H1486,'9a-Typen vloeren'!$A$10:$B$40,2,FALSE)</f>
        <v>zie kwaliteitsontwerp</v>
      </c>
      <c r="J1486" s="584">
        <v>8.8000001907348633</v>
      </c>
      <c r="K1486" s="433">
        <f t="shared" si="118"/>
        <v>0</v>
      </c>
      <c r="L1486" s="433">
        <f t="shared" si="119"/>
        <v>0</v>
      </c>
      <c r="M1486" s="433">
        <f t="shared" si="120"/>
        <v>0</v>
      </c>
      <c r="N1486" s="672"/>
      <c r="O1486" s="729">
        <f>IF(N1486="",0,N1486*K1486/'9b-Vloeronderhoud'!$F$4)</f>
        <v>0</v>
      </c>
      <c r="P1486" s="672"/>
      <c r="Q1486" s="729" t="e">
        <f>IF(O1486="",0,P1486*L1486/'9b-Vloeronderhoud'!$F$6)</f>
        <v>#DIV/0!</v>
      </c>
      <c r="R1486" s="449">
        <v>1</v>
      </c>
      <c r="S1486" s="672">
        <v>190</v>
      </c>
      <c r="T1486" s="161" t="e">
        <f t="shared" si="121"/>
        <v>#DIV/0!</v>
      </c>
      <c r="U1486" s="162">
        <f>IF(S1486="nio",0,IF(S1486&gt;0,VLOOKUP(G1486,'3-Productie normen'!A:K,VLOOKUP(S1486,'3-Productie normen'!L:N,3,FALSE),FALSE)))</f>
        <v>0</v>
      </c>
      <c r="V1486" s="162">
        <f>VLOOKUP(G1486,'3-Productie normen'!A:K,10,FALSE)</f>
        <v>1859.5880019121171</v>
      </c>
      <c r="W1486" s="163">
        <f>VLOOKUP(G1486,'3-Productie normen'!A:K,11,FALSE)</f>
        <v>0</v>
      </c>
      <c r="X1486" s="163"/>
      <c r="Z1486" s="129">
        <f t="shared" si="122"/>
        <v>1672.000036239624</v>
      </c>
    </row>
    <row r="1487" spans="1:26" ht="14.1" customHeight="1">
      <c r="A1487" s="144">
        <v>1525</v>
      </c>
      <c r="B1487" s="485" t="s">
        <v>227</v>
      </c>
      <c r="C1487" s="159" t="s">
        <v>425</v>
      </c>
      <c r="D1487" s="132" t="s">
        <v>98</v>
      </c>
      <c r="E1487" s="702" t="s">
        <v>331</v>
      </c>
      <c r="F1487" s="126" t="s">
        <v>297</v>
      </c>
      <c r="G1487" s="303" t="s">
        <v>189</v>
      </c>
      <c r="H1487" s="303" t="s">
        <v>332</v>
      </c>
      <c r="I1487" s="582" t="str">
        <f>VLOOKUP(H1487,'9a-Typen vloeren'!$A$10:$B$40,2,FALSE)</f>
        <v>Sproei/extraheren</v>
      </c>
      <c r="J1487" s="584">
        <v>15.300000190734863</v>
      </c>
      <c r="K1487" s="433">
        <f t="shared" si="118"/>
        <v>0</v>
      </c>
      <c r="L1487" s="433">
        <f t="shared" si="119"/>
        <v>0</v>
      </c>
      <c r="M1487" s="433">
        <f t="shared" si="120"/>
        <v>15.300000190734863</v>
      </c>
      <c r="N1487" s="672"/>
      <c r="O1487" s="729">
        <f>IF(N1487="",0,N1487*K1487/'9b-Vloeronderhoud'!$F$4)</f>
        <v>0</v>
      </c>
      <c r="P1487" s="672"/>
      <c r="Q1487" s="729" t="e">
        <f>IF(O1487="",0,P1487*L1487/'9b-Vloeronderhoud'!$F$6)</f>
        <v>#DIV/0!</v>
      </c>
      <c r="R1487" s="449">
        <v>1</v>
      </c>
      <c r="S1487" s="672">
        <v>40</v>
      </c>
      <c r="T1487" s="161" t="e">
        <f t="shared" si="121"/>
        <v>#DIV/0!</v>
      </c>
      <c r="U1487" s="162">
        <f>IF(S1487="nio",0,IF(S1487&gt;0,VLOOKUP(G1487,'3-Productie normen'!A:K,VLOOKUP(S1487,'3-Productie normen'!L:N,3,FALSE),FALSE)))</f>
        <v>0</v>
      </c>
      <c r="V1487" s="162">
        <f>VLOOKUP(G1487,'3-Productie normen'!A:K,10,FALSE)</f>
        <v>1494.1700078582762</v>
      </c>
      <c r="W1487" s="163">
        <f>VLOOKUP(G1487,'3-Productie normen'!A:K,11,FALSE)</f>
        <v>0</v>
      </c>
      <c r="X1487" s="163"/>
      <c r="Z1487" s="129">
        <f t="shared" si="122"/>
        <v>612.00000762939453</v>
      </c>
    </row>
    <row r="1488" spans="1:26" ht="14.1" customHeight="1">
      <c r="A1488" s="144">
        <v>1526</v>
      </c>
      <c r="B1488" s="485" t="s">
        <v>263</v>
      </c>
      <c r="C1488" s="160" t="s">
        <v>736</v>
      </c>
      <c r="D1488" s="304" t="s">
        <v>98</v>
      </c>
      <c r="E1488" s="694" t="s">
        <v>294</v>
      </c>
      <c r="F1488" s="303" t="s">
        <v>99</v>
      </c>
      <c r="G1488" s="122" t="s">
        <v>99</v>
      </c>
      <c r="H1488" s="303" t="s">
        <v>332</v>
      </c>
      <c r="I1488" s="582" t="str">
        <f>VLOOKUP(H1488,'9a-Typen vloeren'!$A$10:$B$40,2,FALSE)</f>
        <v>Sproei/extraheren</v>
      </c>
      <c r="J1488" s="433">
        <v>11.399999618530273</v>
      </c>
      <c r="K1488" s="433">
        <f t="shared" si="118"/>
        <v>0</v>
      </c>
      <c r="L1488" s="433">
        <f t="shared" si="119"/>
        <v>0</v>
      </c>
      <c r="M1488" s="433">
        <f t="shared" si="120"/>
        <v>11.399999618530273</v>
      </c>
      <c r="N1488" s="672"/>
      <c r="O1488" s="729">
        <f>IF(N1488="",0,N1488*K1488/'9b-Vloeronderhoud'!$F$4)</f>
        <v>0</v>
      </c>
      <c r="P1488" s="672"/>
      <c r="Q1488" s="729" t="e">
        <f>IF(O1488="",0,P1488*L1488/'9b-Vloeronderhoud'!$F$6)</f>
        <v>#DIV/0!</v>
      </c>
      <c r="R1488" s="449">
        <v>1</v>
      </c>
      <c r="S1488" s="672">
        <v>190</v>
      </c>
      <c r="T1488" s="161" t="e">
        <f t="shared" si="121"/>
        <v>#DIV/0!</v>
      </c>
      <c r="U1488" s="162">
        <f>IF(S1488="nio",0,IF(S1488&gt;0,VLOOKUP(G1488,'3-Productie normen'!A:K,VLOOKUP(S1488,'3-Productie normen'!L:N,3,FALSE),FALSE)))</f>
        <v>0</v>
      </c>
      <c r="V1488" s="162">
        <f>VLOOKUP(G1488,'3-Productie normen'!A:K,10,FALSE)</f>
        <v>726.97999910354622</v>
      </c>
      <c r="W1488" s="163">
        <f>VLOOKUP(G1488,'3-Productie normen'!A:K,11,FALSE)</f>
        <v>0</v>
      </c>
      <c r="X1488" s="163"/>
      <c r="Z1488" s="129">
        <f t="shared" si="122"/>
        <v>2165.999927520752</v>
      </c>
    </row>
    <row r="1489" spans="1:26" ht="14.1" customHeight="1">
      <c r="A1489" s="144">
        <v>1527</v>
      </c>
      <c r="B1489" s="485" t="s">
        <v>263</v>
      </c>
      <c r="C1489" s="160" t="s">
        <v>736</v>
      </c>
      <c r="D1489" s="304" t="s">
        <v>98</v>
      </c>
      <c r="E1489" s="694" t="s">
        <v>295</v>
      </c>
      <c r="F1489" s="303" t="s">
        <v>281</v>
      </c>
      <c r="G1489" s="460" t="s">
        <v>881</v>
      </c>
      <c r="H1489" s="303" t="s">
        <v>100</v>
      </c>
      <c r="I1489" s="582" t="str">
        <f>VLOOKUP(H1489,'9a-Typen vloeren'!$A$10:$B$40,2,FALSE)</f>
        <v>Sprayen/ conserveren</v>
      </c>
      <c r="J1489" s="433">
        <v>3.5</v>
      </c>
      <c r="K1489" s="433">
        <f t="shared" si="118"/>
        <v>0</v>
      </c>
      <c r="L1489" s="433">
        <f t="shared" si="119"/>
        <v>0</v>
      </c>
      <c r="M1489" s="433">
        <f t="shared" si="120"/>
        <v>0</v>
      </c>
      <c r="N1489" s="672"/>
      <c r="O1489" s="729">
        <f>IF(N1489="",0,N1489*K1489/'9b-Vloeronderhoud'!$F$4)</f>
        <v>0</v>
      </c>
      <c r="P1489" s="672"/>
      <c r="Q1489" s="729" t="e">
        <f>IF(O1489="",0,P1489*L1489/'9b-Vloeronderhoud'!$F$6)</f>
        <v>#DIV/0!</v>
      </c>
      <c r="R1489" s="449">
        <v>1</v>
      </c>
      <c r="S1489" s="672" t="s">
        <v>179</v>
      </c>
      <c r="T1489" s="161">
        <f t="shared" si="121"/>
        <v>0</v>
      </c>
      <c r="U1489" s="162">
        <f>IF(S1489="nio",0,IF(S1489&gt;0,VLOOKUP(G1489,'3-Productie normen'!A:K,VLOOKUP(S1489,'3-Productie normen'!L:N,3,FALSE),FALSE)))</f>
        <v>0</v>
      </c>
      <c r="V1489" s="162">
        <f>VLOOKUP(G1489,'3-Productie normen'!A:K,10,FALSE)</f>
        <v>5262.809993648526</v>
      </c>
      <c r="W1489" s="163">
        <f>VLOOKUP(G1489,'3-Productie normen'!A:K,11,FALSE)</f>
        <v>0</v>
      </c>
      <c r="X1489" s="163"/>
      <c r="Z1489" s="129">
        <f t="shared" si="122"/>
        <v>0</v>
      </c>
    </row>
    <row r="1490" spans="1:26" ht="14.1" customHeight="1">
      <c r="A1490" s="144">
        <v>1528</v>
      </c>
      <c r="B1490" s="485" t="s">
        <v>263</v>
      </c>
      <c r="C1490" s="160" t="s">
        <v>736</v>
      </c>
      <c r="D1490" s="304" t="s">
        <v>98</v>
      </c>
      <c r="E1490" s="694" t="s">
        <v>296</v>
      </c>
      <c r="F1490" s="303" t="s">
        <v>288</v>
      </c>
      <c r="G1490" s="122" t="s">
        <v>862</v>
      </c>
      <c r="H1490" s="303" t="s">
        <v>332</v>
      </c>
      <c r="I1490" s="582" t="str">
        <f>VLOOKUP(H1490,'9a-Typen vloeren'!$A$10:$B$40,2,FALSE)</f>
        <v>Sproei/extraheren</v>
      </c>
      <c r="J1490" s="433">
        <v>82.300003051757813</v>
      </c>
      <c r="K1490" s="433">
        <f t="shared" ref="K1490:K1553" si="123">IF(G1490="niet in onderhoud",0,IF(I1490="sprayen/ conserveren",J1490,0))</f>
        <v>0</v>
      </c>
      <c r="L1490" s="433">
        <f t="shared" ref="L1490:L1553" si="124">IF(G1490="niet in onderhoud",0,IF(I1490="schrobben",J1490,0))</f>
        <v>0</v>
      </c>
      <c r="M1490" s="433">
        <f t="shared" ref="M1490:M1553" si="125">IF(G1490="niet in onderhoud",0,IF(I1490="Sproei/extraheren",J1490,0))</f>
        <v>82.300003051757813</v>
      </c>
      <c r="N1490" s="672"/>
      <c r="O1490" s="729">
        <f>IF(N1490="",0,N1490*K1490/'9b-Vloeronderhoud'!$F$4)</f>
        <v>0</v>
      </c>
      <c r="P1490" s="672"/>
      <c r="Q1490" s="729" t="e">
        <f>IF(O1490="",0,P1490*L1490/'9b-Vloeronderhoud'!$F$6)</f>
        <v>#DIV/0!</v>
      </c>
      <c r="R1490" s="449">
        <v>1</v>
      </c>
      <c r="S1490" s="672">
        <v>120</v>
      </c>
      <c r="T1490" s="161" t="e">
        <f t="shared" si="121"/>
        <v>#DIV/0!</v>
      </c>
      <c r="U1490" s="162">
        <f>IF(S1490="nio",0,IF(S1490&gt;0,VLOOKUP(G1490,'3-Productie normen'!A:K,VLOOKUP(S1490,'3-Productie normen'!L:N,3,FALSE),FALSE)))</f>
        <v>0</v>
      </c>
      <c r="V1490" s="162">
        <f>VLOOKUP(G1490,'3-Productie normen'!A:K,10,FALSE)</f>
        <v>4374.9900215911857</v>
      </c>
      <c r="W1490" s="163">
        <f>VLOOKUP(G1490,'3-Productie normen'!A:K,11,FALSE)</f>
        <v>0</v>
      </c>
      <c r="X1490" s="163"/>
      <c r="Z1490" s="129">
        <f t="shared" si="122"/>
        <v>9876.0003662109375</v>
      </c>
    </row>
    <row r="1491" spans="1:26" ht="14.1" customHeight="1">
      <c r="A1491" s="144">
        <v>1529</v>
      </c>
      <c r="B1491" s="485" t="s">
        <v>263</v>
      </c>
      <c r="C1491" s="160" t="s">
        <v>736</v>
      </c>
      <c r="D1491" s="304" t="s">
        <v>98</v>
      </c>
      <c r="E1491" s="702" t="s">
        <v>298</v>
      </c>
      <c r="F1491" s="160" t="s">
        <v>302</v>
      </c>
      <c r="G1491" s="460" t="s">
        <v>18</v>
      </c>
      <c r="H1491" s="534" t="s">
        <v>954</v>
      </c>
      <c r="I1491" s="582" t="str">
        <f>VLOOKUP(H1491,'9a-Typen vloeren'!$A$10:$B$40,2,FALSE)</f>
        <v>zie kwaliteitsontwerp</v>
      </c>
      <c r="J1491" s="433">
        <v>6.1999998092651367</v>
      </c>
      <c r="K1491" s="433">
        <f t="shared" si="123"/>
        <v>0</v>
      </c>
      <c r="L1491" s="433">
        <f t="shared" si="124"/>
        <v>0</v>
      </c>
      <c r="M1491" s="433">
        <f t="shared" si="125"/>
        <v>0</v>
      </c>
      <c r="N1491" s="672"/>
      <c r="O1491" s="729">
        <f>IF(N1491="",0,N1491*K1491/'9b-Vloeronderhoud'!$F$4)</f>
        <v>0</v>
      </c>
      <c r="P1491" s="672"/>
      <c r="Q1491" s="729" t="e">
        <f>IF(O1491="",0,P1491*L1491/'9b-Vloeronderhoud'!$F$6)</f>
        <v>#DIV/0!</v>
      </c>
      <c r="R1491" s="449">
        <v>1</v>
      </c>
      <c r="S1491" s="672">
        <v>190</v>
      </c>
      <c r="T1491" s="161" t="e">
        <f t="shared" si="121"/>
        <v>#DIV/0!</v>
      </c>
      <c r="U1491" s="162">
        <f>IF(S1491="nio",0,IF(S1491&gt;0,VLOOKUP(G1491,'3-Productie normen'!A:K,VLOOKUP(S1491,'3-Productie normen'!L:N,3,FALSE),FALSE)))</f>
        <v>0</v>
      </c>
      <c r="V1491" s="162">
        <f>VLOOKUP(G1491,'3-Productie normen'!A:K,10,FALSE)</f>
        <v>1859.5880019121171</v>
      </c>
      <c r="W1491" s="163">
        <f>VLOOKUP(G1491,'3-Productie normen'!A:K,11,FALSE)</f>
        <v>0</v>
      </c>
      <c r="X1491" s="163"/>
      <c r="Z1491" s="129">
        <f t="shared" si="122"/>
        <v>1177.999963760376</v>
      </c>
    </row>
    <row r="1492" spans="1:26" ht="14.1" customHeight="1">
      <c r="A1492" s="144">
        <v>1530</v>
      </c>
      <c r="B1492" s="485" t="s">
        <v>263</v>
      </c>
      <c r="C1492" s="160" t="s">
        <v>736</v>
      </c>
      <c r="D1492" s="304" t="s">
        <v>98</v>
      </c>
      <c r="E1492" s="702" t="s">
        <v>340</v>
      </c>
      <c r="F1492" s="160" t="s">
        <v>338</v>
      </c>
      <c r="G1492" s="546" t="s">
        <v>286</v>
      </c>
      <c r="H1492" s="303" t="s">
        <v>332</v>
      </c>
      <c r="I1492" s="582" t="str">
        <f>VLOOKUP(H1492,'9a-Typen vloeren'!$A$10:$B$40,2,FALSE)</f>
        <v>Sproei/extraheren</v>
      </c>
      <c r="J1492" s="433">
        <v>4.0999999046325684</v>
      </c>
      <c r="K1492" s="433">
        <f t="shared" si="123"/>
        <v>0</v>
      </c>
      <c r="L1492" s="433">
        <f t="shared" si="124"/>
        <v>0</v>
      </c>
      <c r="M1492" s="433">
        <f t="shared" si="125"/>
        <v>4.0999999046325684</v>
      </c>
      <c r="N1492" s="672"/>
      <c r="O1492" s="729">
        <f>IF(N1492="",0,N1492*K1492/'9b-Vloeronderhoud'!$F$4)</f>
        <v>0</v>
      </c>
      <c r="P1492" s="672"/>
      <c r="Q1492" s="729" t="e">
        <f>IF(O1492="",0,P1492*L1492/'9b-Vloeronderhoud'!$F$6)</f>
        <v>#DIV/0!</v>
      </c>
      <c r="R1492" s="449">
        <v>1</v>
      </c>
      <c r="S1492" s="672">
        <v>120</v>
      </c>
      <c r="T1492" s="161" t="e">
        <f t="shared" si="121"/>
        <v>#DIV/0!</v>
      </c>
      <c r="U1492" s="162">
        <f>IF(S1492="nio",0,IF(S1492&gt;0,VLOOKUP(G1492,'3-Productie normen'!A:K,VLOOKUP(S1492,'3-Productie normen'!L:N,3,FALSE),FALSE)))</f>
        <v>0</v>
      </c>
      <c r="V1492" s="162">
        <f>VLOOKUP(G1492,'3-Productie normen'!A:K,10,FALSE)</f>
        <v>6152.9500017547598</v>
      </c>
      <c r="W1492" s="163">
        <f>VLOOKUP(G1492,'3-Productie normen'!A:K,11,FALSE)</f>
        <v>0</v>
      </c>
      <c r="X1492" s="163"/>
      <c r="Z1492" s="129">
        <f t="shared" si="122"/>
        <v>491.9999885559082</v>
      </c>
    </row>
    <row r="1493" spans="1:26" ht="14.1" customHeight="1">
      <c r="A1493" s="144">
        <v>1531</v>
      </c>
      <c r="B1493" s="485" t="s">
        <v>263</v>
      </c>
      <c r="C1493" s="160" t="s">
        <v>736</v>
      </c>
      <c r="D1493" s="304" t="s">
        <v>98</v>
      </c>
      <c r="E1493" s="694" t="s">
        <v>301</v>
      </c>
      <c r="F1493" s="303" t="s">
        <v>282</v>
      </c>
      <c r="G1493" s="460" t="s">
        <v>881</v>
      </c>
      <c r="H1493" s="303" t="s">
        <v>100</v>
      </c>
      <c r="I1493" s="582" t="str">
        <f>VLOOKUP(H1493,'9a-Typen vloeren'!$A$10:$B$40,2,FALSE)</f>
        <v>Sprayen/ conserveren</v>
      </c>
      <c r="J1493" s="433">
        <v>8.6999998092651367</v>
      </c>
      <c r="K1493" s="433">
        <f t="shared" si="123"/>
        <v>0</v>
      </c>
      <c r="L1493" s="433">
        <f t="shared" si="124"/>
        <v>0</v>
      </c>
      <c r="M1493" s="433">
        <f t="shared" si="125"/>
        <v>0</v>
      </c>
      <c r="N1493" s="672"/>
      <c r="O1493" s="729">
        <f>IF(N1493="",0,N1493*K1493/'9b-Vloeronderhoud'!$F$4)</f>
        <v>0</v>
      </c>
      <c r="P1493" s="672"/>
      <c r="Q1493" s="729" t="e">
        <f>IF(O1493="",0,P1493*L1493/'9b-Vloeronderhoud'!$F$6)</f>
        <v>#DIV/0!</v>
      </c>
      <c r="R1493" s="449">
        <v>1</v>
      </c>
      <c r="S1493" s="672" t="s">
        <v>179</v>
      </c>
      <c r="T1493" s="161">
        <f t="shared" si="121"/>
        <v>0</v>
      </c>
      <c r="U1493" s="162">
        <f>IF(S1493="nio",0,IF(S1493&gt;0,VLOOKUP(G1493,'3-Productie normen'!A:K,VLOOKUP(S1493,'3-Productie normen'!L:N,3,FALSE),FALSE)))</f>
        <v>0</v>
      </c>
      <c r="V1493" s="162">
        <f>VLOOKUP(G1493,'3-Productie normen'!A:K,10,FALSE)</f>
        <v>5262.809993648526</v>
      </c>
      <c r="W1493" s="163">
        <f>VLOOKUP(G1493,'3-Productie normen'!A:K,11,FALSE)</f>
        <v>0</v>
      </c>
      <c r="X1493" s="163"/>
      <c r="Z1493" s="129">
        <f t="shared" si="122"/>
        <v>0</v>
      </c>
    </row>
    <row r="1494" spans="1:26" ht="14.1" customHeight="1">
      <c r="A1494" s="144">
        <v>1532</v>
      </c>
      <c r="B1494" s="485" t="s">
        <v>263</v>
      </c>
      <c r="C1494" s="160" t="s">
        <v>736</v>
      </c>
      <c r="D1494" s="304" t="s">
        <v>98</v>
      </c>
      <c r="E1494" s="694" t="s">
        <v>303</v>
      </c>
      <c r="F1494" s="303" t="s">
        <v>709</v>
      </c>
      <c r="G1494" s="303" t="s">
        <v>191</v>
      </c>
      <c r="H1494" s="303" t="s">
        <v>332</v>
      </c>
      <c r="I1494" s="582" t="str">
        <f>VLOOKUP(H1494,'9a-Typen vloeren'!$A$10:$B$40,2,FALSE)</f>
        <v>Sproei/extraheren</v>
      </c>
      <c r="J1494" s="433">
        <v>17.5</v>
      </c>
      <c r="K1494" s="433">
        <f t="shared" si="123"/>
        <v>0</v>
      </c>
      <c r="L1494" s="433">
        <f t="shared" si="124"/>
        <v>0</v>
      </c>
      <c r="M1494" s="433">
        <f t="shared" si="125"/>
        <v>17.5</v>
      </c>
      <c r="N1494" s="672"/>
      <c r="O1494" s="729">
        <f>IF(N1494="",0,N1494*K1494/'9b-Vloeronderhoud'!$F$4)</f>
        <v>0</v>
      </c>
      <c r="P1494" s="672"/>
      <c r="Q1494" s="729" t="e">
        <f>IF(O1494="",0,P1494*L1494/'9b-Vloeronderhoud'!$F$6)</f>
        <v>#DIV/0!</v>
      </c>
      <c r="R1494" s="449">
        <v>1</v>
      </c>
      <c r="S1494" s="672">
        <v>40</v>
      </c>
      <c r="T1494" s="161" t="e">
        <f t="shared" si="121"/>
        <v>#DIV/0!</v>
      </c>
      <c r="U1494" s="162">
        <f>IF(S1494="nio",0,IF(S1494&gt;0,VLOOKUP(G1494,'3-Productie normen'!A:K,VLOOKUP(S1494,'3-Productie normen'!L:N,3,FALSE),FALSE)))</f>
        <v>0</v>
      </c>
      <c r="V1494" s="162">
        <f>VLOOKUP(G1494,'3-Productie normen'!A:K,10,FALSE)</f>
        <v>314.55999933242794</v>
      </c>
      <c r="W1494" s="163">
        <f>VLOOKUP(G1494,'3-Productie normen'!A:K,11,FALSE)</f>
        <v>0</v>
      </c>
      <c r="X1494" s="163"/>
      <c r="Z1494" s="129">
        <f t="shared" si="122"/>
        <v>700</v>
      </c>
    </row>
    <row r="1495" spans="1:26" ht="14.1" customHeight="1">
      <c r="A1495" s="144">
        <v>1533</v>
      </c>
      <c r="B1495" s="485" t="s">
        <v>263</v>
      </c>
      <c r="C1495" s="160" t="s">
        <v>736</v>
      </c>
      <c r="D1495" s="304" t="s">
        <v>98</v>
      </c>
      <c r="E1495" s="694" t="s">
        <v>305</v>
      </c>
      <c r="F1495" s="303" t="s">
        <v>297</v>
      </c>
      <c r="G1495" s="546" t="s">
        <v>189</v>
      </c>
      <c r="H1495" s="303" t="s">
        <v>332</v>
      </c>
      <c r="I1495" s="582" t="str">
        <f>VLOOKUP(H1495,'9a-Typen vloeren'!$A$10:$B$40,2,FALSE)</f>
        <v>Sproei/extraheren</v>
      </c>
      <c r="J1495" s="433">
        <v>15.600000381469727</v>
      </c>
      <c r="K1495" s="433">
        <f t="shared" si="123"/>
        <v>0</v>
      </c>
      <c r="L1495" s="433">
        <f t="shared" si="124"/>
        <v>0</v>
      </c>
      <c r="M1495" s="433">
        <f t="shared" si="125"/>
        <v>15.600000381469727</v>
      </c>
      <c r="N1495" s="672"/>
      <c r="O1495" s="729">
        <f>IF(N1495="",0,N1495*K1495/'9b-Vloeronderhoud'!$F$4)</f>
        <v>0</v>
      </c>
      <c r="P1495" s="672"/>
      <c r="Q1495" s="729" t="e">
        <f>IF(O1495="",0,P1495*L1495/'9b-Vloeronderhoud'!$F$6)</f>
        <v>#DIV/0!</v>
      </c>
      <c r="R1495" s="449">
        <v>1</v>
      </c>
      <c r="S1495" s="672">
        <v>40</v>
      </c>
      <c r="T1495" s="161" t="e">
        <f t="shared" si="121"/>
        <v>#DIV/0!</v>
      </c>
      <c r="U1495" s="162">
        <f>IF(S1495="nio",0,IF(S1495&gt;0,VLOOKUP(G1495,'3-Productie normen'!A:K,VLOOKUP(S1495,'3-Productie normen'!L:N,3,FALSE),FALSE)))</f>
        <v>0</v>
      </c>
      <c r="V1495" s="162">
        <f>VLOOKUP(G1495,'3-Productie normen'!A:K,10,FALSE)</f>
        <v>1494.1700078582762</v>
      </c>
      <c r="W1495" s="163">
        <f>VLOOKUP(G1495,'3-Productie normen'!A:K,11,FALSE)</f>
        <v>0</v>
      </c>
      <c r="X1495" s="163"/>
      <c r="Z1495" s="129">
        <f t="shared" si="122"/>
        <v>624.00001525878906</v>
      </c>
    </row>
    <row r="1496" spans="1:26" ht="14.1" customHeight="1">
      <c r="A1496" s="144">
        <v>1534</v>
      </c>
      <c r="B1496" s="485" t="s">
        <v>263</v>
      </c>
      <c r="C1496" s="160" t="s">
        <v>736</v>
      </c>
      <c r="D1496" s="304" t="s">
        <v>98</v>
      </c>
      <c r="E1496" s="694" t="s">
        <v>306</v>
      </c>
      <c r="F1496" s="303" t="s">
        <v>652</v>
      </c>
      <c r="G1496" s="546" t="s">
        <v>286</v>
      </c>
      <c r="H1496" s="303" t="s">
        <v>332</v>
      </c>
      <c r="I1496" s="582" t="str">
        <f>VLOOKUP(H1496,'9a-Typen vloeren'!$A$10:$B$40,2,FALSE)</f>
        <v>Sproei/extraheren</v>
      </c>
      <c r="J1496" s="433">
        <v>1.7999999523162842</v>
      </c>
      <c r="K1496" s="433">
        <f t="shared" si="123"/>
        <v>0</v>
      </c>
      <c r="L1496" s="433">
        <f t="shared" si="124"/>
        <v>0</v>
      </c>
      <c r="M1496" s="433">
        <f t="shared" si="125"/>
        <v>1.7999999523162842</v>
      </c>
      <c r="N1496" s="672"/>
      <c r="O1496" s="729">
        <f>IF(N1496="",0,N1496*K1496/'9b-Vloeronderhoud'!$F$4)</f>
        <v>0</v>
      </c>
      <c r="P1496" s="672"/>
      <c r="Q1496" s="729" t="e">
        <f>IF(O1496="",0,P1496*L1496/'9b-Vloeronderhoud'!$F$6)</f>
        <v>#DIV/0!</v>
      </c>
      <c r="R1496" s="449">
        <v>1</v>
      </c>
      <c r="S1496" s="672">
        <v>120</v>
      </c>
      <c r="T1496" s="161" t="e">
        <f t="shared" si="121"/>
        <v>#DIV/0!</v>
      </c>
      <c r="U1496" s="162">
        <f>IF(S1496="nio",0,IF(S1496&gt;0,VLOOKUP(G1496,'3-Productie normen'!A:K,VLOOKUP(S1496,'3-Productie normen'!L:N,3,FALSE),FALSE)))</f>
        <v>0</v>
      </c>
      <c r="V1496" s="162">
        <f>VLOOKUP(G1496,'3-Productie normen'!A:K,10,FALSE)</f>
        <v>6152.9500017547598</v>
      </c>
      <c r="W1496" s="163">
        <f>VLOOKUP(G1496,'3-Productie normen'!A:K,11,FALSE)</f>
        <v>0</v>
      </c>
      <c r="X1496" s="163"/>
      <c r="Z1496" s="129">
        <f t="shared" si="122"/>
        <v>215.9999942779541</v>
      </c>
    </row>
    <row r="1497" spans="1:26" ht="14.1" customHeight="1">
      <c r="A1497" s="144">
        <v>1535</v>
      </c>
      <c r="B1497" s="485" t="s">
        <v>263</v>
      </c>
      <c r="C1497" s="160" t="s">
        <v>736</v>
      </c>
      <c r="D1497" s="304" t="s">
        <v>98</v>
      </c>
      <c r="E1497" s="694" t="s">
        <v>307</v>
      </c>
      <c r="F1497" s="303" t="s">
        <v>302</v>
      </c>
      <c r="G1497" s="460" t="s">
        <v>18</v>
      </c>
      <c r="H1497" s="534" t="s">
        <v>954</v>
      </c>
      <c r="I1497" s="582" t="str">
        <f>VLOOKUP(H1497,'9a-Typen vloeren'!$A$10:$B$40,2,FALSE)</f>
        <v>zie kwaliteitsontwerp</v>
      </c>
      <c r="J1497" s="433">
        <v>1.3999999761581421</v>
      </c>
      <c r="K1497" s="433">
        <f t="shared" si="123"/>
        <v>0</v>
      </c>
      <c r="L1497" s="433">
        <f t="shared" si="124"/>
        <v>0</v>
      </c>
      <c r="M1497" s="433">
        <f t="shared" si="125"/>
        <v>0</v>
      </c>
      <c r="N1497" s="672"/>
      <c r="O1497" s="729">
        <f>IF(N1497="",0,N1497*K1497/'9b-Vloeronderhoud'!$F$4)</f>
        <v>0</v>
      </c>
      <c r="P1497" s="672"/>
      <c r="Q1497" s="729" t="e">
        <f>IF(O1497="",0,P1497*L1497/'9b-Vloeronderhoud'!$F$6)</f>
        <v>#DIV/0!</v>
      </c>
      <c r="R1497" s="449">
        <v>1</v>
      </c>
      <c r="S1497" s="672">
        <v>190</v>
      </c>
      <c r="T1497" s="161" t="e">
        <f t="shared" si="121"/>
        <v>#DIV/0!</v>
      </c>
      <c r="U1497" s="162">
        <f>IF(S1497="nio",0,IF(S1497&gt;0,VLOOKUP(G1497,'3-Productie normen'!A:K,VLOOKUP(S1497,'3-Productie normen'!L:N,3,FALSE),FALSE)))</f>
        <v>0</v>
      </c>
      <c r="V1497" s="162">
        <f>VLOOKUP(G1497,'3-Productie normen'!A:K,10,FALSE)</f>
        <v>1859.5880019121171</v>
      </c>
      <c r="W1497" s="163">
        <f>VLOOKUP(G1497,'3-Productie normen'!A:K,11,FALSE)</f>
        <v>0</v>
      </c>
      <c r="X1497" s="163"/>
      <c r="Z1497" s="129">
        <f t="shared" si="122"/>
        <v>265.999995470047</v>
      </c>
    </row>
    <row r="1498" spans="1:26" ht="14.1" customHeight="1">
      <c r="A1498" s="144">
        <v>1536</v>
      </c>
      <c r="B1498" s="485" t="s">
        <v>263</v>
      </c>
      <c r="C1498" s="160" t="s">
        <v>736</v>
      </c>
      <c r="D1498" s="304" t="s">
        <v>98</v>
      </c>
      <c r="E1498" s="694" t="s">
        <v>309</v>
      </c>
      <c r="F1498" s="303" t="s">
        <v>313</v>
      </c>
      <c r="G1498" s="460" t="s">
        <v>881</v>
      </c>
      <c r="H1498" s="303" t="s">
        <v>100</v>
      </c>
      <c r="I1498" s="582" t="str">
        <f>VLOOKUP(H1498,'9a-Typen vloeren'!$A$10:$B$40,2,FALSE)</f>
        <v>Sprayen/ conserveren</v>
      </c>
      <c r="J1498" s="433">
        <v>5.1999998092651367</v>
      </c>
      <c r="K1498" s="433">
        <f t="shared" si="123"/>
        <v>0</v>
      </c>
      <c r="L1498" s="433">
        <f t="shared" si="124"/>
        <v>0</v>
      </c>
      <c r="M1498" s="433">
        <f t="shared" si="125"/>
        <v>0</v>
      </c>
      <c r="N1498" s="672"/>
      <c r="O1498" s="729">
        <f>IF(N1498="",0,N1498*K1498/'9b-Vloeronderhoud'!$F$4)</f>
        <v>0</v>
      </c>
      <c r="P1498" s="672"/>
      <c r="Q1498" s="729" t="e">
        <f>IF(O1498="",0,P1498*L1498/'9b-Vloeronderhoud'!$F$6)</f>
        <v>#DIV/0!</v>
      </c>
      <c r="R1498" s="449">
        <v>1</v>
      </c>
      <c r="S1498" s="672" t="s">
        <v>179</v>
      </c>
      <c r="T1498" s="161">
        <f t="shared" si="121"/>
        <v>0</v>
      </c>
      <c r="U1498" s="162">
        <f>IF(S1498="nio",0,IF(S1498&gt;0,VLOOKUP(G1498,'3-Productie normen'!A:K,VLOOKUP(S1498,'3-Productie normen'!L:N,3,FALSE),FALSE)))</f>
        <v>0</v>
      </c>
      <c r="V1498" s="162">
        <f>VLOOKUP(G1498,'3-Productie normen'!A:K,10,FALSE)</f>
        <v>5262.809993648526</v>
      </c>
      <c r="W1498" s="163">
        <f>VLOOKUP(G1498,'3-Productie normen'!A:K,11,FALSE)</f>
        <v>0</v>
      </c>
      <c r="X1498" s="163"/>
      <c r="Z1498" s="129">
        <f t="shared" si="122"/>
        <v>0</v>
      </c>
    </row>
    <row r="1499" spans="1:26" ht="14.1" customHeight="1">
      <c r="A1499" s="144">
        <v>1537</v>
      </c>
      <c r="B1499" s="485" t="s">
        <v>263</v>
      </c>
      <c r="C1499" s="160" t="s">
        <v>736</v>
      </c>
      <c r="D1499" s="304" t="s">
        <v>98</v>
      </c>
      <c r="E1499" s="694" t="s">
        <v>311</v>
      </c>
      <c r="F1499" s="303" t="s">
        <v>221</v>
      </c>
      <c r="G1499" s="4" t="s">
        <v>221</v>
      </c>
      <c r="H1499" s="303" t="s">
        <v>332</v>
      </c>
      <c r="I1499" s="582" t="str">
        <f>VLOOKUP(H1499,'9a-Typen vloeren'!$A$10:$B$40,2,FALSE)</f>
        <v>Sproei/extraheren</v>
      </c>
      <c r="J1499" s="433">
        <v>54.400001525878906</v>
      </c>
      <c r="K1499" s="433">
        <f t="shared" si="123"/>
        <v>0</v>
      </c>
      <c r="L1499" s="433">
        <f t="shared" si="124"/>
        <v>0</v>
      </c>
      <c r="M1499" s="433">
        <f t="shared" si="125"/>
        <v>54.400001525878906</v>
      </c>
      <c r="N1499" s="672"/>
      <c r="O1499" s="729">
        <f>IF(N1499="",0,N1499*K1499/'9b-Vloeronderhoud'!$F$4)</f>
        <v>0</v>
      </c>
      <c r="P1499" s="672"/>
      <c r="Q1499" s="729" t="e">
        <f>IF(O1499="",0,P1499*L1499/'9b-Vloeronderhoud'!$F$6)</f>
        <v>#DIV/0!</v>
      </c>
      <c r="R1499" s="449">
        <v>1</v>
      </c>
      <c r="S1499" s="672">
        <v>80</v>
      </c>
      <c r="T1499" s="161" t="e">
        <f t="shared" si="121"/>
        <v>#DIV/0!</v>
      </c>
      <c r="U1499" s="162">
        <f>IF(S1499="nio",0,IF(S1499&gt;0,VLOOKUP(G1499,'3-Productie normen'!A:K,VLOOKUP(S1499,'3-Productie normen'!L:N,3,FALSE),FALSE)))</f>
        <v>0</v>
      </c>
      <c r="V1499" s="162">
        <f>VLOOKUP(G1499,'3-Productie normen'!A:K,10,FALSE)</f>
        <v>16013.110036668773</v>
      </c>
      <c r="W1499" s="163">
        <f>VLOOKUP(G1499,'3-Productie normen'!A:K,11,FALSE)</f>
        <v>0</v>
      </c>
      <c r="X1499" s="163"/>
      <c r="Z1499" s="129">
        <f t="shared" si="122"/>
        <v>4352.0001220703125</v>
      </c>
    </row>
    <row r="1500" spans="1:26" ht="14.1" customHeight="1">
      <c r="A1500" s="144">
        <v>1538</v>
      </c>
      <c r="B1500" s="485" t="s">
        <v>263</v>
      </c>
      <c r="C1500" s="160" t="s">
        <v>736</v>
      </c>
      <c r="D1500" s="304" t="s">
        <v>98</v>
      </c>
      <c r="E1500" s="694" t="s">
        <v>312</v>
      </c>
      <c r="F1500" s="126" t="s">
        <v>221</v>
      </c>
      <c r="G1500" s="4" t="s">
        <v>221</v>
      </c>
      <c r="H1500" s="303" t="s">
        <v>332</v>
      </c>
      <c r="I1500" s="582" t="str">
        <f>VLOOKUP(H1500,'9a-Typen vloeren'!$A$10:$B$40,2,FALSE)</f>
        <v>Sproei/extraheren</v>
      </c>
      <c r="J1500" s="433">
        <v>54.400001525878906</v>
      </c>
      <c r="K1500" s="433">
        <f t="shared" si="123"/>
        <v>0</v>
      </c>
      <c r="L1500" s="433">
        <f t="shared" si="124"/>
        <v>0</v>
      </c>
      <c r="M1500" s="433">
        <f t="shared" si="125"/>
        <v>54.400001525878906</v>
      </c>
      <c r="N1500" s="672"/>
      <c r="O1500" s="729">
        <f>IF(N1500="",0,N1500*K1500/'9b-Vloeronderhoud'!$F$4)</f>
        <v>0</v>
      </c>
      <c r="P1500" s="672"/>
      <c r="Q1500" s="729" t="e">
        <f>IF(O1500="",0,P1500*L1500/'9b-Vloeronderhoud'!$F$6)</f>
        <v>#DIV/0!</v>
      </c>
      <c r="R1500" s="449">
        <v>1</v>
      </c>
      <c r="S1500" s="672">
        <v>80</v>
      </c>
      <c r="T1500" s="161" t="e">
        <f t="shared" si="121"/>
        <v>#DIV/0!</v>
      </c>
      <c r="U1500" s="162">
        <f>IF(S1500="nio",0,IF(S1500&gt;0,VLOOKUP(G1500,'3-Productie normen'!A:K,VLOOKUP(S1500,'3-Productie normen'!L:N,3,FALSE),FALSE)))</f>
        <v>0</v>
      </c>
      <c r="V1500" s="162">
        <f>VLOOKUP(G1500,'3-Productie normen'!A:K,10,FALSE)</f>
        <v>16013.110036668773</v>
      </c>
      <c r="W1500" s="163">
        <f>VLOOKUP(G1500,'3-Productie normen'!A:K,11,FALSE)</f>
        <v>0</v>
      </c>
      <c r="X1500" s="163"/>
      <c r="Z1500" s="129">
        <f t="shared" si="122"/>
        <v>4352.0001220703125</v>
      </c>
    </row>
    <row r="1501" spans="1:26" ht="14.1" customHeight="1">
      <c r="A1501" s="144">
        <v>1539</v>
      </c>
      <c r="B1501" s="485" t="s">
        <v>263</v>
      </c>
      <c r="C1501" s="160" t="s">
        <v>736</v>
      </c>
      <c r="D1501" s="304" t="s">
        <v>98</v>
      </c>
      <c r="E1501" s="694" t="s">
        <v>342</v>
      </c>
      <c r="F1501" s="303" t="s">
        <v>288</v>
      </c>
      <c r="G1501" s="460" t="s">
        <v>862</v>
      </c>
      <c r="H1501" s="303" t="s">
        <v>332</v>
      </c>
      <c r="I1501" s="582" t="str">
        <f>VLOOKUP(H1501,'9a-Typen vloeren'!$A$10:$B$40,2,FALSE)</f>
        <v>Sproei/extraheren</v>
      </c>
      <c r="J1501" s="433">
        <v>73.800003051757813</v>
      </c>
      <c r="K1501" s="433">
        <f t="shared" si="123"/>
        <v>0</v>
      </c>
      <c r="L1501" s="433">
        <f t="shared" si="124"/>
        <v>0</v>
      </c>
      <c r="M1501" s="433">
        <f t="shared" si="125"/>
        <v>73.800003051757813</v>
      </c>
      <c r="N1501" s="672"/>
      <c r="O1501" s="729">
        <f>IF(N1501="",0,N1501*K1501/'9b-Vloeronderhoud'!$F$4)</f>
        <v>0</v>
      </c>
      <c r="P1501" s="672"/>
      <c r="Q1501" s="729" t="e">
        <f>IF(O1501="",0,P1501*L1501/'9b-Vloeronderhoud'!$F$6)</f>
        <v>#DIV/0!</v>
      </c>
      <c r="R1501" s="449">
        <v>1</v>
      </c>
      <c r="S1501" s="672">
        <v>120</v>
      </c>
      <c r="T1501" s="161" t="e">
        <f t="shared" si="121"/>
        <v>#DIV/0!</v>
      </c>
      <c r="U1501" s="162">
        <f>IF(S1501="nio",0,IF(S1501&gt;0,VLOOKUP(G1501,'3-Productie normen'!A:K,VLOOKUP(S1501,'3-Productie normen'!L:N,3,FALSE),FALSE)))</f>
        <v>0</v>
      </c>
      <c r="V1501" s="162">
        <f>VLOOKUP(G1501,'3-Productie normen'!A:K,10,FALSE)</f>
        <v>4374.9900215911857</v>
      </c>
      <c r="W1501" s="163">
        <f>VLOOKUP(G1501,'3-Productie normen'!A:K,11,FALSE)</f>
        <v>0</v>
      </c>
      <c r="X1501" s="163"/>
      <c r="Z1501" s="129">
        <f t="shared" si="122"/>
        <v>8856.0003662109375</v>
      </c>
    </row>
    <row r="1502" spans="1:26" ht="14.1" customHeight="1">
      <c r="A1502" s="144">
        <v>1540</v>
      </c>
      <c r="B1502" s="485" t="s">
        <v>263</v>
      </c>
      <c r="C1502" s="160" t="s">
        <v>736</v>
      </c>
      <c r="D1502" s="304" t="s">
        <v>98</v>
      </c>
      <c r="E1502" s="694" t="s">
        <v>314</v>
      </c>
      <c r="F1502" s="303" t="s">
        <v>859</v>
      </c>
      <c r="G1502" s="171" t="s">
        <v>421</v>
      </c>
      <c r="H1502" s="303" t="s">
        <v>100</v>
      </c>
      <c r="I1502" s="582" t="str">
        <f>VLOOKUP(H1502,'9a-Typen vloeren'!$A$10:$B$40,2,FALSE)</f>
        <v>Sprayen/ conserveren</v>
      </c>
      <c r="J1502" s="433">
        <v>65.400001525878906</v>
      </c>
      <c r="K1502" s="433">
        <f t="shared" si="123"/>
        <v>65.400001525878906</v>
      </c>
      <c r="L1502" s="433">
        <f t="shared" si="124"/>
        <v>0</v>
      </c>
      <c r="M1502" s="433">
        <f t="shared" si="125"/>
        <v>0</v>
      </c>
      <c r="N1502" s="672"/>
      <c r="O1502" s="729">
        <f>IF(N1502="",0,N1502*K1502/'9b-Vloeronderhoud'!$F$4)</f>
        <v>0</v>
      </c>
      <c r="P1502" s="672"/>
      <c r="Q1502" s="729" t="e">
        <f>IF(O1502="",0,P1502*L1502/'9b-Vloeronderhoud'!$F$6)</f>
        <v>#DIV/0!</v>
      </c>
      <c r="R1502" s="449">
        <v>1</v>
      </c>
      <c r="S1502" s="672">
        <v>40</v>
      </c>
      <c r="T1502" s="161" t="e">
        <f t="shared" si="121"/>
        <v>#DIV/0!</v>
      </c>
      <c r="U1502" s="162">
        <f>IF(S1502="nio",0,IF(S1502&gt;0,VLOOKUP(G1502,'3-Productie normen'!A:K,VLOOKUP(S1502,'3-Productie normen'!L:N,3,FALSE),FALSE)))</f>
        <v>0</v>
      </c>
      <c r="V1502" s="162">
        <f>VLOOKUP(G1502,'3-Productie normen'!A:K,10,FALSE)</f>
        <v>865.11000061035156</v>
      </c>
      <c r="W1502" s="163">
        <f>VLOOKUP(G1502,'3-Productie normen'!A:K,11,FALSE)</f>
        <v>0</v>
      </c>
      <c r="X1502" s="163"/>
      <c r="Z1502" s="129">
        <f t="shared" si="122"/>
        <v>2616.0000610351563</v>
      </c>
    </row>
    <row r="1503" spans="1:26" ht="14.1" customHeight="1">
      <c r="A1503" s="144">
        <v>1541</v>
      </c>
      <c r="B1503" s="485" t="s">
        <v>263</v>
      </c>
      <c r="C1503" s="160" t="s">
        <v>736</v>
      </c>
      <c r="D1503" s="304" t="s">
        <v>98</v>
      </c>
      <c r="E1503" s="694" t="s">
        <v>315</v>
      </c>
      <c r="F1503" s="303" t="s">
        <v>302</v>
      </c>
      <c r="G1503" s="171" t="s">
        <v>18</v>
      </c>
      <c r="H1503" s="524" t="s">
        <v>966</v>
      </c>
      <c r="I1503" s="582" t="str">
        <f>VLOOKUP(H1503,'9a-Typen vloeren'!$A$10:$B$40,2,FALSE)</f>
        <v>zie kwaliteitsontwerp</v>
      </c>
      <c r="J1503" s="433">
        <v>3.7999999523162842</v>
      </c>
      <c r="K1503" s="433">
        <f t="shared" si="123"/>
        <v>0</v>
      </c>
      <c r="L1503" s="433">
        <f t="shared" si="124"/>
        <v>0</v>
      </c>
      <c r="M1503" s="433">
        <f t="shared" si="125"/>
        <v>0</v>
      </c>
      <c r="N1503" s="672"/>
      <c r="O1503" s="729">
        <f>IF(N1503="",0,N1503*K1503/'9b-Vloeronderhoud'!$F$4)</f>
        <v>0</v>
      </c>
      <c r="P1503" s="672"/>
      <c r="Q1503" s="729" t="e">
        <f>IF(O1503="",0,P1503*L1503/'9b-Vloeronderhoud'!$F$6)</f>
        <v>#DIV/0!</v>
      </c>
      <c r="R1503" s="449">
        <v>1</v>
      </c>
      <c r="S1503" s="672">
        <v>40</v>
      </c>
      <c r="T1503" s="161" t="e">
        <f t="shared" si="121"/>
        <v>#DIV/0!</v>
      </c>
      <c r="U1503" s="162">
        <f>IF(S1503="nio",0,IF(S1503&gt;0,VLOOKUP(G1503,'3-Productie normen'!A:K,VLOOKUP(S1503,'3-Productie normen'!L:N,3,FALSE),FALSE)))</f>
        <v>0</v>
      </c>
      <c r="V1503" s="162">
        <f>VLOOKUP(G1503,'3-Productie normen'!A:K,10,FALSE)</f>
        <v>1859.5880019121171</v>
      </c>
      <c r="W1503" s="163">
        <f>VLOOKUP(G1503,'3-Productie normen'!A:K,11,FALSE)</f>
        <v>0</v>
      </c>
      <c r="X1503" s="163"/>
      <c r="Z1503" s="129">
        <f t="shared" si="122"/>
        <v>151.99999809265137</v>
      </c>
    </row>
    <row r="1504" spans="1:26" ht="14.1" customHeight="1">
      <c r="A1504" s="144">
        <v>1542</v>
      </c>
      <c r="B1504" s="485" t="s">
        <v>263</v>
      </c>
      <c r="C1504" s="160" t="s">
        <v>736</v>
      </c>
      <c r="D1504" s="304" t="s">
        <v>98</v>
      </c>
      <c r="E1504" s="694" t="s">
        <v>317</v>
      </c>
      <c r="F1504" s="303" t="s">
        <v>282</v>
      </c>
      <c r="G1504" s="460" t="s">
        <v>881</v>
      </c>
      <c r="H1504" s="303" t="s">
        <v>100</v>
      </c>
      <c r="I1504" s="582" t="str">
        <f>VLOOKUP(H1504,'9a-Typen vloeren'!$A$10:$B$40,2,FALSE)</f>
        <v>Sprayen/ conserveren</v>
      </c>
      <c r="J1504" s="433">
        <v>5</v>
      </c>
      <c r="K1504" s="433">
        <f t="shared" si="123"/>
        <v>0</v>
      </c>
      <c r="L1504" s="433">
        <f t="shared" si="124"/>
        <v>0</v>
      </c>
      <c r="M1504" s="433">
        <f t="shared" si="125"/>
        <v>0</v>
      </c>
      <c r="N1504" s="672"/>
      <c r="O1504" s="729">
        <f>IF(N1504="",0,N1504*K1504/'9b-Vloeronderhoud'!$F$4)</f>
        <v>0</v>
      </c>
      <c r="P1504" s="672"/>
      <c r="Q1504" s="729" t="e">
        <f>IF(O1504="",0,P1504*L1504/'9b-Vloeronderhoud'!$F$6)</f>
        <v>#DIV/0!</v>
      </c>
      <c r="R1504" s="449">
        <v>1</v>
      </c>
      <c r="S1504" s="672" t="s">
        <v>179</v>
      </c>
      <c r="T1504" s="161">
        <f t="shared" si="121"/>
        <v>0</v>
      </c>
      <c r="U1504" s="162">
        <f>IF(S1504="nio",0,IF(S1504&gt;0,VLOOKUP(G1504,'3-Productie normen'!A:K,VLOOKUP(S1504,'3-Productie normen'!L:N,3,FALSE),FALSE)))</f>
        <v>0</v>
      </c>
      <c r="V1504" s="162">
        <f>VLOOKUP(G1504,'3-Productie normen'!A:K,10,FALSE)</f>
        <v>5262.809993648526</v>
      </c>
      <c r="W1504" s="163">
        <f>VLOOKUP(G1504,'3-Productie normen'!A:K,11,FALSE)</f>
        <v>0</v>
      </c>
      <c r="X1504" s="163"/>
      <c r="Z1504" s="129">
        <f t="shared" si="122"/>
        <v>0</v>
      </c>
    </row>
    <row r="1505" spans="1:26" ht="14.1" customHeight="1">
      <c r="A1505" s="144">
        <v>1543</v>
      </c>
      <c r="B1505" s="485" t="s">
        <v>263</v>
      </c>
      <c r="C1505" s="160" t="s">
        <v>736</v>
      </c>
      <c r="D1505" s="304" t="s">
        <v>98</v>
      </c>
      <c r="E1505" s="694" t="s">
        <v>318</v>
      </c>
      <c r="F1505" s="303" t="s">
        <v>470</v>
      </c>
      <c r="G1505" s="303" t="s">
        <v>221</v>
      </c>
      <c r="H1505" s="303" t="s">
        <v>332</v>
      </c>
      <c r="I1505" s="582" t="str">
        <f>VLOOKUP(H1505,'9a-Typen vloeren'!$A$10:$B$40,2,FALSE)</f>
        <v>Sproei/extraheren</v>
      </c>
      <c r="J1505" s="433">
        <v>52.5</v>
      </c>
      <c r="K1505" s="433">
        <f t="shared" si="123"/>
        <v>0</v>
      </c>
      <c r="L1505" s="433">
        <f t="shared" si="124"/>
        <v>0</v>
      </c>
      <c r="M1505" s="433">
        <f t="shared" si="125"/>
        <v>52.5</v>
      </c>
      <c r="N1505" s="672"/>
      <c r="O1505" s="729">
        <f>IF(N1505="",0,N1505*K1505/'9b-Vloeronderhoud'!$F$4)</f>
        <v>0</v>
      </c>
      <c r="P1505" s="672"/>
      <c r="Q1505" s="729" t="e">
        <f>IF(O1505="",0,P1505*L1505/'9b-Vloeronderhoud'!$F$6)</f>
        <v>#DIV/0!</v>
      </c>
      <c r="R1505" s="449">
        <v>1</v>
      </c>
      <c r="S1505" s="672">
        <v>80</v>
      </c>
      <c r="T1505" s="161" t="e">
        <f t="shared" si="121"/>
        <v>#DIV/0!</v>
      </c>
      <c r="U1505" s="162">
        <f>IF(S1505="nio",0,IF(S1505&gt;0,VLOOKUP(G1505,'3-Productie normen'!A:K,VLOOKUP(S1505,'3-Productie normen'!L:N,3,FALSE),FALSE)))</f>
        <v>0</v>
      </c>
      <c r="V1505" s="162">
        <f>VLOOKUP(G1505,'3-Productie normen'!A:K,10,FALSE)</f>
        <v>16013.110036668773</v>
      </c>
      <c r="W1505" s="163">
        <f>VLOOKUP(G1505,'3-Productie normen'!A:K,11,FALSE)</f>
        <v>0</v>
      </c>
      <c r="X1505" s="163"/>
      <c r="Z1505" s="129">
        <f t="shared" si="122"/>
        <v>4200</v>
      </c>
    </row>
    <row r="1506" spans="1:26" ht="14.1" customHeight="1">
      <c r="A1506" s="144">
        <v>1544</v>
      </c>
      <c r="B1506" s="485" t="s">
        <v>263</v>
      </c>
      <c r="C1506" s="160" t="s">
        <v>736</v>
      </c>
      <c r="D1506" s="304" t="s">
        <v>98</v>
      </c>
      <c r="E1506" s="694" t="s">
        <v>319</v>
      </c>
      <c r="F1506" s="303" t="s">
        <v>404</v>
      </c>
      <c r="G1506" s="171" t="s">
        <v>286</v>
      </c>
      <c r="H1506" s="303" t="s">
        <v>332</v>
      </c>
      <c r="I1506" s="582" t="str">
        <f>VLOOKUP(H1506,'9a-Typen vloeren'!$A$10:$B$40,2,FALSE)</f>
        <v>Sproei/extraheren</v>
      </c>
      <c r="J1506" s="433">
        <v>5.6999998092651367</v>
      </c>
      <c r="K1506" s="433">
        <f t="shared" si="123"/>
        <v>0</v>
      </c>
      <c r="L1506" s="433">
        <f t="shared" si="124"/>
        <v>0</v>
      </c>
      <c r="M1506" s="433">
        <f t="shared" si="125"/>
        <v>5.6999998092651367</v>
      </c>
      <c r="N1506" s="672"/>
      <c r="O1506" s="729">
        <f>IF(N1506="",0,N1506*K1506/'9b-Vloeronderhoud'!$F$4)</f>
        <v>0</v>
      </c>
      <c r="P1506" s="672"/>
      <c r="Q1506" s="729" t="e">
        <f>IF(O1506="",0,P1506*L1506/'9b-Vloeronderhoud'!$F$6)</f>
        <v>#DIV/0!</v>
      </c>
      <c r="R1506" s="449">
        <v>1</v>
      </c>
      <c r="S1506" s="672">
        <v>120</v>
      </c>
      <c r="T1506" s="161" t="e">
        <f t="shared" si="121"/>
        <v>#DIV/0!</v>
      </c>
      <c r="U1506" s="162">
        <f>IF(S1506="nio",0,IF(S1506&gt;0,VLOOKUP(G1506,'3-Productie normen'!A:K,VLOOKUP(S1506,'3-Productie normen'!L:N,3,FALSE),FALSE)))</f>
        <v>0</v>
      </c>
      <c r="V1506" s="162">
        <f>VLOOKUP(G1506,'3-Productie normen'!A:K,10,FALSE)</f>
        <v>6152.9500017547598</v>
      </c>
      <c r="W1506" s="163">
        <f>VLOOKUP(G1506,'3-Productie normen'!A:K,11,FALSE)</f>
        <v>0</v>
      </c>
      <c r="X1506" s="163"/>
      <c r="Z1506" s="129">
        <f t="shared" si="122"/>
        <v>683.99997711181641</v>
      </c>
    </row>
    <row r="1507" spans="1:26" ht="14.1" customHeight="1">
      <c r="A1507" s="144">
        <v>1545</v>
      </c>
      <c r="B1507" s="485" t="s">
        <v>263</v>
      </c>
      <c r="C1507" s="160" t="s">
        <v>736</v>
      </c>
      <c r="D1507" s="304" t="s">
        <v>98</v>
      </c>
      <c r="E1507" s="694" t="s">
        <v>320</v>
      </c>
      <c r="F1507" s="303" t="s">
        <v>341</v>
      </c>
      <c r="G1507" s="122" t="s">
        <v>190</v>
      </c>
      <c r="H1507" s="303" t="s">
        <v>100</v>
      </c>
      <c r="I1507" s="582" t="str">
        <f>VLOOKUP(H1507,'9a-Typen vloeren'!$A$10:$B$40,2,FALSE)</f>
        <v>Sprayen/ conserveren</v>
      </c>
      <c r="J1507" s="433">
        <v>3.5</v>
      </c>
      <c r="K1507" s="433">
        <f t="shared" si="123"/>
        <v>3.5</v>
      </c>
      <c r="L1507" s="433">
        <f t="shared" si="124"/>
        <v>0</v>
      </c>
      <c r="M1507" s="433">
        <f t="shared" si="125"/>
        <v>0</v>
      </c>
      <c r="N1507" s="672">
        <v>2</v>
      </c>
      <c r="O1507" s="729" t="e">
        <f>IF(N1507="",0,N1507*K1507/'9b-Vloeronderhoud'!$F$4)</f>
        <v>#DIV/0!</v>
      </c>
      <c r="P1507" s="672"/>
      <c r="Q1507" s="729" t="e">
        <f>IF(O1507="",0,P1507*L1507/'9b-Vloeronderhoud'!$F$6)</f>
        <v>#DIV/0!</v>
      </c>
      <c r="R1507" s="449">
        <v>1</v>
      </c>
      <c r="S1507" s="672">
        <v>40</v>
      </c>
      <c r="T1507" s="161" t="e">
        <f t="shared" si="121"/>
        <v>#DIV/0!</v>
      </c>
      <c r="U1507" s="162">
        <f>IF(S1507="nio",0,IF(S1507&gt;0,VLOOKUP(G1507,'3-Productie normen'!A:K,VLOOKUP(S1507,'3-Productie normen'!L:N,3,FALSE),FALSE)))</f>
        <v>0</v>
      </c>
      <c r="V1507" s="162">
        <f>VLOOKUP(G1507,'3-Productie normen'!A:K,10,FALSE)</f>
        <v>281.65000052452086</v>
      </c>
      <c r="W1507" s="163">
        <f>VLOOKUP(G1507,'3-Productie normen'!A:K,11,FALSE)</f>
        <v>0</v>
      </c>
      <c r="X1507" s="163"/>
      <c r="Z1507" s="129">
        <f t="shared" si="122"/>
        <v>140</v>
      </c>
    </row>
    <row r="1508" spans="1:26" ht="14.1" customHeight="1">
      <c r="A1508" s="144">
        <v>1546</v>
      </c>
      <c r="B1508" s="485" t="s">
        <v>263</v>
      </c>
      <c r="C1508" s="160" t="s">
        <v>736</v>
      </c>
      <c r="D1508" s="304" t="s">
        <v>98</v>
      </c>
      <c r="E1508" s="694" t="s">
        <v>321</v>
      </c>
      <c r="F1508" s="303" t="s">
        <v>302</v>
      </c>
      <c r="G1508" s="303" t="s">
        <v>18</v>
      </c>
      <c r="H1508" s="534" t="s">
        <v>954</v>
      </c>
      <c r="I1508" s="582" t="str">
        <f>VLOOKUP(H1508,'9a-Typen vloeren'!$A$10:$B$40,2,FALSE)</f>
        <v>zie kwaliteitsontwerp</v>
      </c>
      <c r="J1508" s="433">
        <v>2.7000000476837158</v>
      </c>
      <c r="K1508" s="433">
        <f t="shared" si="123"/>
        <v>0</v>
      </c>
      <c r="L1508" s="433">
        <f t="shared" si="124"/>
        <v>0</v>
      </c>
      <c r="M1508" s="433">
        <f t="shared" si="125"/>
        <v>0</v>
      </c>
      <c r="N1508" s="672"/>
      <c r="O1508" s="729">
        <f>IF(N1508="",0,N1508*K1508/'9b-Vloeronderhoud'!$F$4)</f>
        <v>0</v>
      </c>
      <c r="P1508" s="672"/>
      <c r="Q1508" s="729" t="e">
        <f>IF(O1508="",0,P1508*L1508/'9b-Vloeronderhoud'!$F$6)</f>
        <v>#DIV/0!</v>
      </c>
      <c r="R1508" s="449">
        <v>1</v>
      </c>
      <c r="S1508" s="672">
        <v>190</v>
      </c>
      <c r="T1508" s="161" t="e">
        <f t="shared" si="121"/>
        <v>#DIV/0!</v>
      </c>
      <c r="U1508" s="162">
        <f>IF(S1508="nio",0,IF(S1508&gt;0,VLOOKUP(G1508,'3-Productie normen'!A:K,VLOOKUP(S1508,'3-Productie normen'!L:N,3,FALSE),FALSE)))</f>
        <v>0</v>
      </c>
      <c r="V1508" s="162">
        <f>VLOOKUP(G1508,'3-Productie normen'!A:K,10,FALSE)</f>
        <v>1859.5880019121171</v>
      </c>
      <c r="W1508" s="163">
        <f>VLOOKUP(G1508,'3-Productie normen'!A:K,11,FALSE)</f>
        <v>0</v>
      </c>
      <c r="X1508" s="163"/>
      <c r="Z1508" s="129">
        <f t="shared" si="122"/>
        <v>513.00000905990601</v>
      </c>
    </row>
    <row r="1509" spans="1:26" ht="14.1" customHeight="1">
      <c r="A1509" s="144">
        <v>1547</v>
      </c>
      <c r="B1509" s="485" t="s">
        <v>263</v>
      </c>
      <c r="C1509" s="160" t="s">
        <v>736</v>
      </c>
      <c r="D1509" s="304" t="s">
        <v>98</v>
      </c>
      <c r="E1509" s="694" t="s">
        <v>323</v>
      </c>
      <c r="F1509" s="303" t="s">
        <v>297</v>
      </c>
      <c r="G1509" s="546" t="s">
        <v>189</v>
      </c>
      <c r="H1509" s="303" t="s">
        <v>332</v>
      </c>
      <c r="I1509" s="582" t="str">
        <f>VLOOKUP(H1509,'9a-Typen vloeren'!$A$10:$B$40,2,FALSE)</f>
        <v>Sproei/extraheren</v>
      </c>
      <c r="J1509" s="433">
        <v>14.800000190734863</v>
      </c>
      <c r="K1509" s="433">
        <f t="shared" si="123"/>
        <v>0</v>
      </c>
      <c r="L1509" s="433">
        <f t="shared" si="124"/>
        <v>0</v>
      </c>
      <c r="M1509" s="433">
        <f t="shared" si="125"/>
        <v>14.800000190734863</v>
      </c>
      <c r="N1509" s="672"/>
      <c r="O1509" s="729">
        <f>IF(N1509="",0,N1509*K1509/'9b-Vloeronderhoud'!$F$4)</f>
        <v>0</v>
      </c>
      <c r="P1509" s="672"/>
      <c r="Q1509" s="729" t="e">
        <f>IF(O1509="",0,P1509*L1509/'9b-Vloeronderhoud'!$F$6)</f>
        <v>#DIV/0!</v>
      </c>
      <c r="R1509" s="449">
        <v>1</v>
      </c>
      <c r="S1509" s="672">
        <v>40</v>
      </c>
      <c r="T1509" s="161" t="e">
        <f t="shared" si="121"/>
        <v>#DIV/0!</v>
      </c>
      <c r="U1509" s="162">
        <f>IF(S1509="nio",0,IF(S1509&gt;0,VLOOKUP(G1509,'3-Productie normen'!A:K,VLOOKUP(S1509,'3-Productie normen'!L:N,3,FALSE),FALSE)))</f>
        <v>0</v>
      </c>
      <c r="V1509" s="162">
        <f>VLOOKUP(G1509,'3-Productie normen'!A:K,10,FALSE)</f>
        <v>1494.1700078582762</v>
      </c>
      <c r="W1509" s="163">
        <f>VLOOKUP(G1509,'3-Productie normen'!A:K,11,FALSE)</f>
        <v>0</v>
      </c>
      <c r="X1509" s="163"/>
      <c r="Z1509" s="129">
        <f t="shared" si="122"/>
        <v>592.00000762939453</v>
      </c>
    </row>
    <row r="1510" spans="1:26" ht="14.1" customHeight="1">
      <c r="A1510" s="144">
        <v>1548</v>
      </c>
      <c r="B1510" s="485" t="s">
        <v>263</v>
      </c>
      <c r="C1510" s="160" t="s">
        <v>736</v>
      </c>
      <c r="D1510" s="304" t="s">
        <v>98</v>
      </c>
      <c r="E1510" s="694" t="s">
        <v>325</v>
      </c>
      <c r="F1510" s="303" t="s">
        <v>282</v>
      </c>
      <c r="G1510" s="460" t="s">
        <v>881</v>
      </c>
      <c r="H1510" s="303" t="s">
        <v>100</v>
      </c>
      <c r="I1510" s="582" t="str">
        <f>VLOOKUP(H1510,'9a-Typen vloeren'!$A$10:$B$40,2,FALSE)</f>
        <v>Sprayen/ conserveren</v>
      </c>
      <c r="J1510" s="433">
        <v>7.0999999046325684</v>
      </c>
      <c r="K1510" s="433">
        <f t="shared" si="123"/>
        <v>0</v>
      </c>
      <c r="L1510" s="433">
        <f t="shared" si="124"/>
        <v>0</v>
      </c>
      <c r="M1510" s="433">
        <f t="shared" si="125"/>
        <v>0</v>
      </c>
      <c r="N1510" s="672"/>
      <c r="O1510" s="729">
        <f>IF(N1510="",0,N1510*K1510/'9b-Vloeronderhoud'!$F$4)</f>
        <v>0</v>
      </c>
      <c r="P1510" s="672"/>
      <c r="Q1510" s="729" t="e">
        <f>IF(O1510="",0,P1510*L1510/'9b-Vloeronderhoud'!$F$6)</f>
        <v>#DIV/0!</v>
      </c>
      <c r="R1510" s="449">
        <v>1</v>
      </c>
      <c r="S1510" s="672" t="s">
        <v>179</v>
      </c>
      <c r="T1510" s="161">
        <f t="shared" si="121"/>
        <v>0</v>
      </c>
      <c r="U1510" s="162">
        <f>IF(S1510="nio",0,IF(S1510&gt;0,VLOOKUP(G1510,'3-Productie normen'!A:K,VLOOKUP(S1510,'3-Productie normen'!L:N,3,FALSE),FALSE)))</f>
        <v>0</v>
      </c>
      <c r="V1510" s="162">
        <f>VLOOKUP(G1510,'3-Productie normen'!A:K,10,FALSE)</f>
        <v>5262.809993648526</v>
      </c>
      <c r="W1510" s="163">
        <f>VLOOKUP(G1510,'3-Productie normen'!A:K,11,FALSE)</f>
        <v>0</v>
      </c>
      <c r="X1510" s="163"/>
      <c r="Z1510" s="129">
        <f t="shared" si="122"/>
        <v>0</v>
      </c>
    </row>
    <row r="1511" spans="1:26" ht="14.1" customHeight="1">
      <c r="A1511" s="144">
        <v>1549</v>
      </c>
      <c r="B1511" s="485" t="s">
        <v>263</v>
      </c>
      <c r="C1511" s="303" t="s">
        <v>736</v>
      </c>
      <c r="D1511" s="304" t="s">
        <v>98</v>
      </c>
      <c r="E1511" s="694" t="s">
        <v>326</v>
      </c>
      <c r="F1511" s="303" t="s">
        <v>346</v>
      </c>
      <c r="G1511" s="460" t="s">
        <v>881</v>
      </c>
      <c r="H1511" s="303" t="s">
        <v>101</v>
      </c>
      <c r="I1511" s="582" t="str">
        <f>VLOOKUP(H1511,'9a-Typen vloeren'!$A$10:$B$40,2,FALSE)</f>
        <v>Schrobben</v>
      </c>
      <c r="J1511" s="433">
        <v>3.7999999523162842</v>
      </c>
      <c r="K1511" s="433">
        <f t="shared" si="123"/>
        <v>0</v>
      </c>
      <c r="L1511" s="433">
        <f t="shared" si="124"/>
        <v>0</v>
      </c>
      <c r="M1511" s="433">
        <f t="shared" si="125"/>
        <v>0</v>
      </c>
      <c r="N1511" s="672"/>
      <c r="O1511" s="729">
        <f>IF(N1511="",0,N1511*K1511/'9b-Vloeronderhoud'!$F$4)</f>
        <v>0</v>
      </c>
      <c r="P1511" s="672"/>
      <c r="Q1511" s="729" t="e">
        <f>IF(O1511="",0,P1511*L1511/'9b-Vloeronderhoud'!$F$6)</f>
        <v>#DIV/0!</v>
      </c>
      <c r="R1511" s="449">
        <v>1</v>
      </c>
      <c r="S1511" s="672" t="s">
        <v>179</v>
      </c>
      <c r="T1511" s="161">
        <f t="shared" si="121"/>
        <v>0</v>
      </c>
      <c r="U1511" s="162">
        <f>IF(S1511="nio",0,IF(S1511&gt;0,VLOOKUP(G1511,'3-Productie normen'!A:K,VLOOKUP(S1511,'3-Productie normen'!L:N,3,FALSE),FALSE)))</f>
        <v>0</v>
      </c>
      <c r="V1511" s="162">
        <f>VLOOKUP(G1511,'3-Productie normen'!A:K,10,FALSE)</f>
        <v>5262.809993648526</v>
      </c>
      <c r="W1511" s="163">
        <f>VLOOKUP(G1511,'3-Productie normen'!A:K,11,FALSE)</f>
        <v>0</v>
      </c>
      <c r="X1511" s="163"/>
      <c r="Z1511" s="129">
        <f t="shared" si="122"/>
        <v>0</v>
      </c>
    </row>
    <row r="1512" spans="1:26" ht="14.1" customHeight="1">
      <c r="A1512" s="144">
        <v>1550</v>
      </c>
      <c r="B1512" s="485" t="s">
        <v>263</v>
      </c>
      <c r="C1512" s="303" t="s">
        <v>736</v>
      </c>
      <c r="D1512" s="304" t="s">
        <v>98</v>
      </c>
      <c r="E1512" s="694" t="s">
        <v>328</v>
      </c>
      <c r="F1512" s="303" t="s">
        <v>304</v>
      </c>
      <c r="G1512" s="122" t="s">
        <v>18</v>
      </c>
      <c r="H1512" s="534" t="s">
        <v>954</v>
      </c>
      <c r="I1512" s="582" t="str">
        <f>VLOOKUP(H1512,'9a-Typen vloeren'!$A$10:$B$40,2,FALSE)</f>
        <v>zie kwaliteitsontwerp</v>
      </c>
      <c r="J1512" s="433">
        <v>3.4000000953674316</v>
      </c>
      <c r="K1512" s="433">
        <f t="shared" si="123"/>
        <v>0</v>
      </c>
      <c r="L1512" s="433">
        <f t="shared" si="124"/>
        <v>0</v>
      </c>
      <c r="M1512" s="433">
        <f t="shared" si="125"/>
        <v>0</v>
      </c>
      <c r="N1512" s="672"/>
      <c r="O1512" s="729">
        <f>IF(N1512="",0,N1512*K1512/'9b-Vloeronderhoud'!$F$4)</f>
        <v>0</v>
      </c>
      <c r="P1512" s="672"/>
      <c r="Q1512" s="729" t="e">
        <f>IF(O1512="",0,P1512*L1512/'9b-Vloeronderhoud'!$F$6)</f>
        <v>#DIV/0!</v>
      </c>
      <c r="R1512" s="449">
        <v>1</v>
      </c>
      <c r="S1512" s="672">
        <v>190</v>
      </c>
      <c r="T1512" s="161" t="e">
        <f t="shared" si="121"/>
        <v>#DIV/0!</v>
      </c>
      <c r="U1512" s="162">
        <f>IF(S1512="nio",0,IF(S1512&gt;0,VLOOKUP(G1512,'3-Productie normen'!A:K,VLOOKUP(S1512,'3-Productie normen'!L:N,3,FALSE),FALSE)))</f>
        <v>0</v>
      </c>
      <c r="V1512" s="162">
        <f>VLOOKUP(G1512,'3-Productie normen'!A:K,10,FALSE)</f>
        <v>1859.5880019121171</v>
      </c>
      <c r="W1512" s="163">
        <f>VLOOKUP(G1512,'3-Productie normen'!A:K,11,FALSE)</f>
        <v>0</v>
      </c>
      <c r="X1512" s="163"/>
      <c r="Z1512" s="129">
        <f t="shared" si="122"/>
        <v>646.00001811981201</v>
      </c>
    </row>
    <row r="1513" spans="1:26" ht="14.1" customHeight="1">
      <c r="A1513" s="144">
        <v>1551</v>
      </c>
      <c r="B1513" s="485" t="s">
        <v>263</v>
      </c>
      <c r="C1513" s="303" t="s">
        <v>736</v>
      </c>
      <c r="D1513" s="304" t="s">
        <v>98</v>
      </c>
      <c r="E1513" s="694" t="s">
        <v>329</v>
      </c>
      <c r="F1513" s="303" t="s">
        <v>285</v>
      </c>
      <c r="G1513" s="460" t="s">
        <v>285</v>
      </c>
      <c r="H1513" s="303" t="s">
        <v>332</v>
      </c>
      <c r="I1513" s="582" t="str">
        <f>VLOOKUP(H1513,'9a-Typen vloeren'!$A$10:$B$40,2,FALSE)</f>
        <v>Sproei/extraheren</v>
      </c>
      <c r="J1513" s="433">
        <v>52.200000762939453</v>
      </c>
      <c r="K1513" s="433">
        <f t="shared" si="123"/>
        <v>0</v>
      </c>
      <c r="L1513" s="433">
        <f t="shared" si="124"/>
        <v>0</v>
      </c>
      <c r="M1513" s="433">
        <f t="shared" si="125"/>
        <v>52.200000762939453</v>
      </c>
      <c r="N1513" s="672"/>
      <c r="O1513" s="729">
        <f>IF(N1513="",0,N1513*K1513/'9b-Vloeronderhoud'!$F$4)</f>
        <v>0</v>
      </c>
      <c r="P1513" s="672"/>
      <c r="Q1513" s="729" t="e">
        <f>IF(O1513="",0,P1513*L1513/'9b-Vloeronderhoud'!$F$6)</f>
        <v>#DIV/0!</v>
      </c>
      <c r="R1513" s="449">
        <v>1</v>
      </c>
      <c r="S1513" s="672">
        <v>190</v>
      </c>
      <c r="T1513" s="161" t="e">
        <f t="shared" si="121"/>
        <v>#DIV/0!</v>
      </c>
      <c r="U1513" s="162">
        <f>IF(S1513="nio",0,IF(S1513&gt;0,VLOOKUP(G1513,'3-Productie normen'!A:K,VLOOKUP(S1513,'3-Productie normen'!L:N,3,FALSE),FALSE)))</f>
        <v>0</v>
      </c>
      <c r="V1513" s="162">
        <f>VLOOKUP(G1513,'3-Productie normen'!A:K,10,FALSE)</f>
        <v>3305.8200070953367</v>
      </c>
      <c r="W1513" s="163">
        <f>VLOOKUP(G1513,'3-Productie normen'!A:K,11,FALSE)</f>
        <v>0</v>
      </c>
      <c r="X1513" s="163"/>
      <c r="Z1513" s="129">
        <f t="shared" si="122"/>
        <v>9918.0001449584961</v>
      </c>
    </row>
    <row r="1514" spans="1:26" ht="14.1" customHeight="1">
      <c r="A1514" s="144">
        <v>1552</v>
      </c>
      <c r="B1514" s="485" t="s">
        <v>263</v>
      </c>
      <c r="C1514" s="303" t="s">
        <v>736</v>
      </c>
      <c r="D1514" s="304" t="s">
        <v>98</v>
      </c>
      <c r="E1514" s="694" t="s">
        <v>329</v>
      </c>
      <c r="F1514" s="303" t="s">
        <v>285</v>
      </c>
      <c r="G1514" s="460" t="s">
        <v>285</v>
      </c>
      <c r="H1514" s="303" t="s">
        <v>100</v>
      </c>
      <c r="I1514" s="582" t="str">
        <f>VLOOKUP(H1514,'9a-Typen vloeren'!$A$10:$B$40,2,FALSE)</f>
        <v>Sprayen/ conserveren</v>
      </c>
      <c r="J1514" s="433">
        <v>2</v>
      </c>
      <c r="K1514" s="433">
        <f t="shared" si="123"/>
        <v>2</v>
      </c>
      <c r="L1514" s="433">
        <f t="shared" si="124"/>
        <v>0</v>
      </c>
      <c r="M1514" s="433">
        <f t="shared" si="125"/>
        <v>0</v>
      </c>
      <c r="N1514" s="672"/>
      <c r="O1514" s="729">
        <f>IF(N1514="",0,N1514*K1514/'9b-Vloeronderhoud'!$F$4)</f>
        <v>0</v>
      </c>
      <c r="P1514" s="672"/>
      <c r="Q1514" s="729" t="e">
        <f>IF(O1514="",0,P1514*L1514/'9b-Vloeronderhoud'!$F$6)</f>
        <v>#DIV/0!</v>
      </c>
      <c r="R1514" s="449">
        <v>1</v>
      </c>
      <c r="S1514" s="672">
        <v>190</v>
      </c>
      <c r="T1514" s="161" t="e">
        <f t="shared" si="121"/>
        <v>#DIV/0!</v>
      </c>
      <c r="U1514" s="162">
        <f>IF(S1514="nio",0,IF(S1514&gt;0,VLOOKUP(G1514,'3-Productie normen'!A:K,VLOOKUP(S1514,'3-Productie normen'!L:N,3,FALSE),FALSE)))</f>
        <v>0</v>
      </c>
      <c r="V1514" s="162">
        <f>VLOOKUP(G1514,'3-Productie normen'!A:K,10,FALSE)</f>
        <v>3305.8200070953367</v>
      </c>
      <c r="W1514" s="163">
        <f>VLOOKUP(G1514,'3-Productie normen'!A:K,11,FALSE)</f>
        <v>0</v>
      </c>
      <c r="X1514" s="163"/>
      <c r="Z1514" s="129">
        <f t="shared" si="122"/>
        <v>380</v>
      </c>
    </row>
    <row r="1515" spans="1:26" ht="14.1" customHeight="1">
      <c r="A1515" s="144">
        <v>1553</v>
      </c>
      <c r="B1515" s="485" t="s">
        <v>263</v>
      </c>
      <c r="C1515" s="303" t="s">
        <v>736</v>
      </c>
      <c r="D1515" s="304" t="s">
        <v>98</v>
      </c>
      <c r="E1515" s="694" t="s">
        <v>330</v>
      </c>
      <c r="F1515" s="303" t="s">
        <v>285</v>
      </c>
      <c r="G1515" s="126" t="s">
        <v>285</v>
      </c>
      <c r="H1515" s="303" t="s">
        <v>332</v>
      </c>
      <c r="I1515" s="582" t="str">
        <f>VLOOKUP(H1515,'9a-Typen vloeren'!$A$10:$B$40,2,FALSE)</f>
        <v>Sproei/extraheren</v>
      </c>
      <c r="J1515" s="433">
        <v>68.300003051757813</v>
      </c>
      <c r="K1515" s="433">
        <f t="shared" si="123"/>
        <v>0</v>
      </c>
      <c r="L1515" s="433">
        <f t="shared" si="124"/>
        <v>0</v>
      </c>
      <c r="M1515" s="433">
        <f t="shared" si="125"/>
        <v>68.300003051757813</v>
      </c>
      <c r="N1515" s="672"/>
      <c r="O1515" s="729">
        <f>IF(N1515="",0,N1515*K1515/'9b-Vloeronderhoud'!$F$4)</f>
        <v>0</v>
      </c>
      <c r="P1515" s="672"/>
      <c r="Q1515" s="729" t="e">
        <f>IF(O1515="",0,P1515*L1515/'9b-Vloeronderhoud'!$F$6)</f>
        <v>#DIV/0!</v>
      </c>
      <c r="R1515" s="449">
        <v>1</v>
      </c>
      <c r="S1515" s="672">
        <v>190</v>
      </c>
      <c r="T1515" s="161" t="e">
        <f t="shared" si="121"/>
        <v>#DIV/0!</v>
      </c>
      <c r="U1515" s="162">
        <f>IF(S1515="nio",0,IF(S1515&gt;0,VLOOKUP(G1515,'3-Productie normen'!A:K,VLOOKUP(S1515,'3-Productie normen'!L:N,3,FALSE),FALSE)))</f>
        <v>0</v>
      </c>
      <c r="V1515" s="162">
        <f>VLOOKUP(G1515,'3-Productie normen'!A:K,10,FALSE)</f>
        <v>3305.8200070953367</v>
      </c>
      <c r="W1515" s="163">
        <f>VLOOKUP(G1515,'3-Productie normen'!A:K,11,FALSE)</f>
        <v>0</v>
      </c>
      <c r="X1515" s="163"/>
      <c r="Z1515" s="129">
        <f t="shared" si="122"/>
        <v>12977.000579833984</v>
      </c>
    </row>
    <row r="1516" spans="1:26" ht="14.1" customHeight="1">
      <c r="A1516" s="144">
        <v>1554</v>
      </c>
      <c r="B1516" s="485" t="s">
        <v>263</v>
      </c>
      <c r="C1516" s="303" t="s">
        <v>736</v>
      </c>
      <c r="D1516" s="304" t="s">
        <v>98</v>
      </c>
      <c r="E1516" s="694" t="s">
        <v>330</v>
      </c>
      <c r="F1516" s="303" t="s">
        <v>285</v>
      </c>
      <c r="G1516" s="460" t="s">
        <v>285</v>
      </c>
      <c r="H1516" s="303" t="s">
        <v>101</v>
      </c>
      <c r="I1516" s="582" t="str">
        <f>VLOOKUP(H1516,'9a-Typen vloeren'!$A$10:$B$40,2,FALSE)</f>
        <v>Schrobben</v>
      </c>
      <c r="J1516" s="433">
        <v>13</v>
      </c>
      <c r="K1516" s="433">
        <f t="shared" si="123"/>
        <v>0</v>
      </c>
      <c r="L1516" s="433">
        <f t="shared" si="124"/>
        <v>13</v>
      </c>
      <c r="M1516" s="433">
        <f t="shared" si="125"/>
        <v>0</v>
      </c>
      <c r="N1516" s="672"/>
      <c r="O1516" s="729">
        <f>IF(N1516="",0,N1516*K1516/'9b-Vloeronderhoud'!$F$4)</f>
        <v>0</v>
      </c>
      <c r="P1516" s="672"/>
      <c r="Q1516" s="729" t="e">
        <f>IF(O1516="",0,P1516*L1516/'9b-Vloeronderhoud'!$F$6)</f>
        <v>#DIV/0!</v>
      </c>
      <c r="R1516" s="449">
        <v>1</v>
      </c>
      <c r="S1516" s="672">
        <v>190</v>
      </c>
      <c r="T1516" s="161" t="e">
        <f t="shared" si="121"/>
        <v>#DIV/0!</v>
      </c>
      <c r="U1516" s="162">
        <f>IF(S1516="nio",0,IF(S1516&gt;0,VLOOKUP(G1516,'3-Productie normen'!A:K,VLOOKUP(S1516,'3-Productie normen'!L:N,3,FALSE),FALSE)))</f>
        <v>0</v>
      </c>
      <c r="V1516" s="162">
        <f>VLOOKUP(G1516,'3-Productie normen'!A:K,10,FALSE)</f>
        <v>3305.8200070953367</v>
      </c>
      <c r="W1516" s="163">
        <f>VLOOKUP(G1516,'3-Productie normen'!A:K,11,FALSE)</f>
        <v>0</v>
      </c>
      <c r="X1516" s="163"/>
      <c r="Z1516" s="129">
        <f t="shared" si="122"/>
        <v>2470</v>
      </c>
    </row>
    <row r="1517" spans="1:26" ht="14.1" customHeight="1">
      <c r="A1517" s="144">
        <v>1555</v>
      </c>
      <c r="B1517" s="485" t="s">
        <v>263</v>
      </c>
      <c r="C1517" s="303" t="s">
        <v>736</v>
      </c>
      <c r="D1517" s="304" t="s">
        <v>98</v>
      </c>
      <c r="E1517" s="694" t="s">
        <v>331</v>
      </c>
      <c r="F1517" s="303" t="s">
        <v>282</v>
      </c>
      <c r="G1517" s="460" t="s">
        <v>881</v>
      </c>
      <c r="H1517" s="303" t="s">
        <v>332</v>
      </c>
      <c r="I1517" s="582" t="str">
        <f>VLOOKUP(H1517,'9a-Typen vloeren'!$A$10:$B$40,2,FALSE)</f>
        <v>Sproei/extraheren</v>
      </c>
      <c r="J1517" s="433">
        <v>5.9000000953674316</v>
      </c>
      <c r="K1517" s="433">
        <f t="shared" si="123"/>
        <v>0</v>
      </c>
      <c r="L1517" s="433">
        <f t="shared" si="124"/>
        <v>0</v>
      </c>
      <c r="M1517" s="433">
        <f t="shared" si="125"/>
        <v>0</v>
      </c>
      <c r="N1517" s="672"/>
      <c r="O1517" s="729">
        <f>IF(N1517="",0,N1517*K1517/'9b-Vloeronderhoud'!$F$4)</f>
        <v>0</v>
      </c>
      <c r="P1517" s="672"/>
      <c r="Q1517" s="729" t="e">
        <f>IF(O1517="",0,P1517*L1517/'9b-Vloeronderhoud'!$F$6)</f>
        <v>#DIV/0!</v>
      </c>
      <c r="R1517" s="449">
        <v>1</v>
      </c>
      <c r="S1517" s="672" t="s">
        <v>179</v>
      </c>
      <c r="T1517" s="161">
        <f t="shared" si="121"/>
        <v>0</v>
      </c>
      <c r="U1517" s="162">
        <f>IF(S1517="nio",0,IF(S1517&gt;0,VLOOKUP(G1517,'3-Productie normen'!A:K,VLOOKUP(S1517,'3-Productie normen'!L:N,3,FALSE),FALSE)))</f>
        <v>0</v>
      </c>
      <c r="V1517" s="162">
        <f>VLOOKUP(G1517,'3-Productie normen'!A:K,10,FALSE)</f>
        <v>5262.809993648526</v>
      </c>
      <c r="W1517" s="163">
        <f>VLOOKUP(G1517,'3-Productie normen'!A:K,11,FALSE)</f>
        <v>0</v>
      </c>
      <c r="X1517" s="163"/>
      <c r="Z1517" s="129">
        <f t="shared" si="122"/>
        <v>0</v>
      </c>
    </row>
    <row r="1518" spans="1:26" ht="14.1" customHeight="1">
      <c r="A1518" s="144">
        <v>1556</v>
      </c>
      <c r="B1518" s="485" t="s">
        <v>263</v>
      </c>
      <c r="C1518" s="303" t="s">
        <v>736</v>
      </c>
      <c r="D1518" s="304" t="s">
        <v>98</v>
      </c>
      <c r="E1518" s="694" t="s">
        <v>406</v>
      </c>
      <c r="F1518" s="303" t="s">
        <v>710</v>
      </c>
      <c r="G1518" s="303" t="s">
        <v>279</v>
      </c>
      <c r="H1518" s="303" t="s">
        <v>100</v>
      </c>
      <c r="I1518" s="582" t="str">
        <f>VLOOKUP(H1518,'9a-Typen vloeren'!$A$10:$B$40,2,FALSE)</f>
        <v>Sprayen/ conserveren</v>
      </c>
      <c r="J1518" s="433">
        <v>85.099998474121094</v>
      </c>
      <c r="K1518" s="433">
        <f t="shared" si="123"/>
        <v>85.099998474121094</v>
      </c>
      <c r="L1518" s="433">
        <f t="shared" si="124"/>
        <v>0</v>
      </c>
      <c r="M1518" s="433">
        <f t="shared" si="125"/>
        <v>0</v>
      </c>
      <c r="N1518" s="672"/>
      <c r="O1518" s="729">
        <f>IF(N1518="",0,N1518*K1518/'9b-Vloeronderhoud'!$F$4)</f>
        <v>0</v>
      </c>
      <c r="P1518" s="672"/>
      <c r="Q1518" s="729" t="e">
        <f>IF(O1518="",0,P1518*L1518/'9b-Vloeronderhoud'!$F$6)</f>
        <v>#DIV/0!</v>
      </c>
      <c r="R1518" s="449">
        <v>1</v>
      </c>
      <c r="S1518" s="672">
        <v>190</v>
      </c>
      <c r="T1518" s="161" t="e">
        <f t="shared" si="121"/>
        <v>#DIV/0!</v>
      </c>
      <c r="U1518" s="162">
        <f>IF(S1518="nio",0,IF(S1518&gt;0,VLOOKUP(G1518,'3-Productie normen'!A:K,VLOOKUP(S1518,'3-Productie normen'!L:N,3,FALSE),FALSE)))</f>
        <v>0</v>
      </c>
      <c r="V1518" s="162">
        <f>VLOOKUP(G1518,'3-Productie normen'!A:K,10,FALSE)</f>
        <v>648.99999618530273</v>
      </c>
      <c r="W1518" s="163">
        <f>VLOOKUP(G1518,'3-Productie normen'!A:K,11,FALSE)</f>
        <v>0</v>
      </c>
      <c r="X1518" s="163"/>
      <c r="Z1518" s="129">
        <f t="shared" si="122"/>
        <v>16168.999710083008</v>
      </c>
    </row>
    <row r="1519" spans="1:26" ht="14.1" customHeight="1">
      <c r="A1519" s="144">
        <v>1557</v>
      </c>
      <c r="B1519" s="485" t="s">
        <v>263</v>
      </c>
      <c r="C1519" s="303" t="s">
        <v>736</v>
      </c>
      <c r="D1519" s="304" t="s">
        <v>98</v>
      </c>
      <c r="E1519" s="694" t="s">
        <v>407</v>
      </c>
      <c r="F1519" s="303" t="s">
        <v>517</v>
      </c>
      <c r="G1519" s="460" t="s">
        <v>834</v>
      </c>
      <c r="H1519" s="303" t="s">
        <v>101</v>
      </c>
      <c r="I1519" s="582" t="str">
        <f>VLOOKUP(H1519,'9a-Typen vloeren'!$A$10:$B$40,2,FALSE)</f>
        <v>Schrobben</v>
      </c>
      <c r="J1519" s="433">
        <v>10.100000381469727</v>
      </c>
      <c r="K1519" s="433">
        <f t="shared" si="123"/>
        <v>0</v>
      </c>
      <c r="L1519" s="433">
        <f t="shared" si="124"/>
        <v>10.100000381469727</v>
      </c>
      <c r="M1519" s="433">
        <f t="shared" si="125"/>
        <v>0</v>
      </c>
      <c r="N1519" s="672"/>
      <c r="O1519" s="729">
        <f>IF(N1519="",0,N1519*K1519/'9b-Vloeronderhoud'!$F$4)</f>
        <v>0</v>
      </c>
      <c r="P1519" s="672"/>
      <c r="Q1519" s="729" t="e">
        <f>IF(O1519="",0,P1519*L1519/'9b-Vloeronderhoud'!$F$6)</f>
        <v>#DIV/0!</v>
      </c>
      <c r="R1519" s="449">
        <v>1</v>
      </c>
      <c r="S1519" s="672">
        <v>190</v>
      </c>
      <c r="T1519" s="161" t="e">
        <f t="shared" si="121"/>
        <v>#DIV/0!</v>
      </c>
      <c r="U1519" s="162">
        <f>IF(S1519="nio",0,IF(S1519&gt;0,VLOOKUP(G1519,'3-Productie normen'!A:K,VLOOKUP(S1519,'3-Productie normen'!L:N,3,FALSE),FALSE)))</f>
        <v>0</v>
      </c>
      <c r="V1519" s="162">
        <f>VLOOKUP(G1519,'3-Productie normen'!A:K,10,FALSE)</f>
        <v>67.100000381469727</v>
      </c>
      <c r="W1519" s="163">
        <f>VLOOKUP(G1519,'3-Productie normen'!A:K,11,FALSE)</f>
        <v>0</v>
      </c>
      <c r="X1519" s="163"/>
      <c r="Z1519" s="129">
        <f t="shared" si="122"/>
        <v>1919.000072479248</v>
      </c>
    </row>
    <row r="1520" spans="1:26" ht="14.1" customHeight="1">
      <c r="A1520" s="144">
        <v>1558</v>
      </c>
      <c r="B1520" s="485" t="s">
        <v>263</v>
      </c>
      <c r="C1520" s="303" t="s">
        <v>736</v>
      </c>
      <c r="D1520" s="304" t="s">
        <v>98</v>
      </c>
      <c r="E1520" s="694" t="s">
        <v>408</v>
      </c>
      <c r="F1520" s="303" t="s">
        <v>341</v>
      </c>
      <c r="G1520" s="122" t="s">
        <v>190</v>
      </c>
      <c r="H1520" s="303" t="s">
        <v>100</v>
      </c>
      <c r="I1520" s="582" t="str">
        <f>VLOOKUP(H1520,'9a-Typen vloeren'!$A$10:$B$40,2,FALSE)</f>
        <v>Sprayen/ conserveren</v>
      </c>
      <c r="J1520" s="433">
        <v>5.1999998092651367</v>
      </c>
      <c r="K1520" s="433">
        <f t="shared" si="123"/>
        <v>5.1999998092651367</v>
      </c>
      <c r="L1520" s="433">
        <f t="shared" si="124"/>
        <v>0</v>
      </c>
      <c r="M1520" s="433">
        <f t="shared" si="125"/>
        <v>0</v>
      </c>
      <c r="N1520" s="672">
        <v>2</v>
      </c>
      <c r="O1520" s="729" t="e">
        <f>IF(N1520="",0,N1520*K1520/'9b-Vloeronderhoud'!$F$4)</f>
        <v>#DIV/0!</v>
      </c>
      <c r="P1520" s="672"/>
      <c r="Q1520" s="729" t="e">
        <f>IF(O1520="",0,P1520*L1520/'9b-Vloeronderhoud'!$F$6)</f>
        <v>#DIV/0!</v>
      </c>
      <c r="R1520" s="449">
        <v>1</v>
      </c>
      <c r="S1520" s="672">
        <v>40</v>
      </c>
      <c r="T1520" s="161" t="e">
        <f t="shared" si="121"/>
        <v>#DIV/0!</v>
      </c>
      <c r="U1520" s="162">
        <f>IF(S1520="nio",0,IF(S1520&gt;0,VLOOKUP(G1520,'3-Productie normen'!A:K,VLOOKUP(S1520,'3-Productie normen'!L:N,3,FALSE),FALSE)))</f>
        <v>0</v>
      </c>
      <c r="V1520" s="162">
        <f>VLOOKUP(G1520,'3-Productie normen'!A:K,10,FALSE)</f>
        <v>281.65000052452086</v>
      </c>
      <c r="W1520" s="163">
        <f>VLOOKUP(G1520,'3-Productie normen'!A:K,11,FALSE)</f>
        <v>0</v>
      </c>
      <c r="X1520" s="163"/>
      <c r="Z1520" s="129">
        <f t="shared" si="122"/>
        <v>207.99999237060547</v>
      </c>
    </row>
    <row r="1521" spans="1:26" ht="14.1" customHeight="1">
      <c r="A1521" s="144">
        <v>1559</v>
      </c>
      <c r="B1521" s="485" t="s">
        <v>263</v>
      </c>
      <c r="C1521" s="303" t="s">
        <v>736</v>
      </c>
      <c r="D1521" s="304" t="s">
        <v>98</v>
      </c>
      <c r="E1521" s="694" t="s">
        <v>414</v>
      </c>
      <c r="F1521" s="303" t="s">
        <v>302</v>
      </c>
      <c r="G1521" s="303" t="s">
        <v>18</v>
      </c>
      <c r="H1521" s="534" t="s">
        <v>954</v>
      </c>
      <c r="I1521" s="582" t="str">
        <f>VLOOKUP(H1521,'9a-Typen vloeren'!$A$10:$B$40,2,FALSE)</f>
        <v>zie kwaliteitsontwerp</v>
      </c>
      <c r="J1521" s="433">
        <v>8.1999998092651367</v>
      </c>
      <c r="K1521" s="433">
        <f t="shared" si="123"/>
        <v>0</v>
      </c>
      <c r="L1521" s="433">
        <f t="shared" si="124"/>
        <v>0</v>
      </c>
      <c r="M1521" s="433">
        <f t="shared" si="125"/>
        <v>0</v>
      </c>
      <c r="N1521" s="672"/>
      <c r="O1521" s="729">
        <f>IF(N1521="",0,N1521*K1521/'9b-Vloeronderhoud'!$F$4)</f>
        <v>0</v>
      </c>
      <c r="P1521" s="672"/>
      <c r="Q1521" s="729" t="e">
        <f>IF(O1521="",0,P1521*L1521/'9b-Vloeronderhoud'!$F$6)</f>
        <v>#DIV/0!</v>
      </c>
      <c r="R1521" s="449">
        <v>1</v>
      </c>
      <c r="S1521" s="672">
        <v>190</v>
      </c>
      <c r="T1521" s="161" t="e">
        <f t="shared" si="121"/>
        <v>#DIV/0!</v>
      </c>
      <c r="U1521" s="162">
        <f>IF(S1521="nio",0,IF(S1521&gt;0,VLOOKUP(G1521,'3-Productie normen'!A:K,VLOOKUP(S1521,'3-Productie normen'!L:N,3,FALSE),FALSE)))</f>
        <v>0</v>
      </c>
      <c r="V1521" s="162">
        <f>VLOOKUP(G1521,'3-Productie normen'!A:K,10,FALSE)</f>
        <v>1859.5880019121171</v>
      </c>
      <c r="W1521" s="163">
        <f>VLOOKUP(G1521,'3-Productie normen'!A:K,11,FALSE)</f>
        <v>0</v>
      </c>
      <c r="X1521" s="163"/>
      <c r="Z1521" s="129">
        <f t="shared" si="122"/>
        <v>1557.999963760376</v>
      </c>
    </row>
    <row r="1522" spans="1:26" ht="14.1" customHeight="1">
      <c r="A1522" s="144">
        <v>1560</v>
      </c>
      <c r="B1522" s="485" t="s">
        <v>264</v>
      </c>
      <c r="C1522" s="303" t="s">
        <v>737</v>
      </c>
      <c r="D1522" s="304" t="s">
        <v>98</v>
      </c>
      <c r="E1522" s="694" t="s">
        <v>294</v>
      </c>
      <c r="F1522" s="303" t="s">
        <v>99</v>
      </c>
      <c r="G1522" s="122" t="s">
        <v>99</v>
      </c>
      <c r="H1522" s="303" t="s">
        <v>332</v>
      </c>
      <c r="I1522" s="582" t="str">
        <f>VLOOKUP(H1522,'9a-Typen vloeren'!$A$10:$B$40,2,FALSE)</f>
        <v>Sproei/extraheren</v>
      </c>
      <c r="J1522" s="433">
        <v>3.75</v>
      </c>
      <c r="K1522" s="433">
        <f t="shared" si="123"/>
        <v>0</v>
      </c>
      <c r="L1522" s="433">
        <f t="shared" si="124"/>
        <v>0</v>
      </c>
      <c r="M1522" s="433">
        <f t="shared" si="125"/>
        <v>3.75</v>
      </c>
      <c r="N1522" s="672"/>
      <c r="O1522" s="729">
        <f>IF(N1522="",0,N1522*K1522/'9b-Vloeronderhoud'!$F$4)</f>
        <v>0</v>
      </c>
      <c r="P1522" s="672"/>
      <c r="Q1522" s="729" t="e">
        <f>IF(O1522="",0,P1522*L1522/'9b-Vloeronderhoud'!$F$6)</f>
        <v>#DIV/0!</v>
      </c>
      <c r="R1522" s="449">
        <v>1</v>
      </c>
      <c r="S1522" s="672">
        <v>190</v>
      </c>
      <c r="T1522" s="161" t="e">
        <f t="shared" si="121"/>
        <v>#DIV/0!</v>
      </c>
      <c r="U1522" s="162">
        <f>IF(S1522="nio",0,IF(S1522&gt;0,VLOOKUP(G1522,'3-Productie normen'!A:K,VLOOKUP(S1522,'3-Productie normen'!L:N,3,FALSE),FALSE)))</f>
        <v>0</v>
      </c>
      <c r="V1522" s="162">
        <f>VLOOKUP(G1522,'3-Productie normen'!A:K,10,FALSE)</f>
        <v>726.97999910354622</v>
      </c>
      <c r="W1522" s="163">
        <f>VLOOKUP(G1522,'3-Productie normen'!A:K,11,FALSE)</f>
        <v>0</v>
      </c>
      <c r="X1522" s="163"/>
      <c r="Z1522" s="129">
        <f t="shared" si="122"/>
        <v>712.5</v>
      </c>
    </row>
    <row r="1523" spans="1:26" ht="14.1" customHeight="1">
      <c r="A1523" s="144">
        <v>1561</v>
      </c>
      <c r="B1523" s="485" t="s">
        <v>264</v>
      </c>
      <c r="C1523" s="303" t="s">
        <v>737</v>
      </c>
      <c r="D1523" s="304" t="s">
        <v>98</v>
      </c>
      <c r="E1523" s="694" t="s">
        <v>295</v>
      </c>
      <c r="F1523" s="303" t="s">
        <v>766</v>
      </c>
      <c r="G1523" s="533" t="s">
        <v>862</v>
      </c>
      <c r="H1523" s="303" t="s">
        <v>100</v>
      </c>
      <c r="I1523" s="582" t="str">
        <f>VLOOKUP(H1523,'9a-Typen vloeren'!$A$10:$B$40,2,FALSE)</f>
        <v>Sprayen/ conserveren</v>
      </c>
      <c r="J1523" s="433">
        <v>131</v>
      </c>
      <c r="K1523" s="433">
        <f t="shared" si="123"/>
        <v>131</v>
      </c>
      <c r="L1523" s="433">
        <f t="shared" si="124"/>
        <v>0</v>
      </c>
      <c r="M1523" s="433">
        <f t="shared" si="125"/>
        <v>0</v>
      </c>
      <c r="N1523" s="672">
        <v>2</v>
      </c>
      <c r="O1523" s="729" t="e">
        <f>IF(N1523="",0,N1523*K1523/'9b-Vloeronderhoud'!$F$4)</f>
        <v>#DIV/0!</v>
      </c>
      <c r="P1523" s="672"/>
      <c r="Q1523" s="729" t="e">
        <f>IF(O1523="",0,P1523*L1523/'9b-Vloeronderhoud'!$F$6)</f>
        <v>#DIV/0!</v>
      </c>
      <c r="R1523" s="449">
        <v>1</v>
      </c>
      <c r="S1523" s="672">
        <v>120</v>
      </c>
      <c r="T1523" s="161" t="e">
        <f t="shared" si="121"/>
        <v>#DIV/0!</v>
      </c>
      <c r="U1523" s="162">
        <f>IF(S1523="nio",0,IF(S1523&gt;0,VLOOKUP(G1523,'3-Productie normen'!A:K,VLOOKUP(S1523,'3-Productie normen'!L:N,3,FALSE),FALSE)))</f>
        <v>0</v>
      </c>
      <c r="V1523" s="162">
        <f>VLOOKUP(G1523,'3-Productie normen'!A:K,10,FALSE)</f>
        <v>4374.9900215911857</v>
      </c>
      <c r="W1523" s="163">
        <f>VLOOKUP(G1523,'3-Productie normen'!A:K,11,FALSE)</f>
        <v>0</v>
      </c>
      <c r="X1523" s="163"/>
      <c r="Z1523" s="129">
        <f t="shared" si="122"/>
        <v>15720</v>
      </c>
    </row>
    <row r="1524" spans="1:26" ht="14.1" customHeight="1">
      <c r="A1524" s="144">
        <v>1562</v>
      </c>
      <c r="B1524" s="485" t="s">
        <v>264</v>
      </c>
      <c r="C1524" s="303" t="s">
        <v>737</v>
      </c>
      <c r="D1524" s="304" t="s">
        <v>98</v>
      </c>
      <c r="E1524" s="694" t="s">
        <v>296</v>
      </c>
      <c r="F1524" s="303" t="s">
        <v>297</v>
      </c>
      <c r="G1524" s="460" t="s">
        <v>189</v>
      </c>
      <c r="H1524" s="303" t="s">
        <v>332</v>
      </c>
      <c r="I1524" s="582" t="str">
        <f>VLOOKUP(H1524,'9a-Typen vloeren'!$A$10:$B$40,2,FALSE)</f>
        <v>Sproei/extraheren</v>
      </c>
      <c r="J1524" s="433">
        <v>14</v>
      </c>
      <c r="K1524" s="433">
        <f t="shared" si="123"/>
        <v>0</v>
      </c>
      <c r="L1524" s="433">
        <f t="shared" si="124"/>
        <v>0</v>
      </c>
      <c r="M1524" s="433">
        <f t="shared" si="125"/>
        <v>14</v>
      </c>
      <c r="N1524" s="672"/>
      <c r="O1524" s="729">
        <f>IF(N1524="",0,N1524*K1524/'9b-Vloeronderhoud'!$F$4)</f>
        <v>0</v>
      </c>
      <c r="P1524" s="672"/>
      <c r="Q1524" s="729" t="e">
        <f>IF(O1524="",0,P1524*L1524/'9b-Vloeronderhoud'!$F$6)</f>
        <v>#DIV/0!</v>
      </c>
      <c r="R1524" s="449">
        <v>1</v>
      </c>
      <c r="S1524" s="672">
        <v>40</v>
      </c>
      <c r="T1524" s="161" t="e">
        <f t="shared" si="121"/>
        <v>#DIV/0!</v>
      </c>
      <c r="U1524" s="162">
        <f>IF(S1524="nio",0,IF(S1524&gt;0,VLOOKUP(G1524,'3-Productie normen'!A:K,VLOOKUP(S1524,'3-Productie normen'!L:N,3,FALSE),FALSE)))</f>
        <v>0</v>
      </c>
      <c r="V1524" s="162">
        <f>VLOOKUP(G1524,'3-Productie normen'!A:K,10,FALSE)</f>
        <v>1494.1700078582762</v>
      </c>
      <c r="W1524" s="163">
        <f>VLOOKUP(G1524,'3-Productie normen'!A:K,11,FALSE)</f>
        <v>0</v>
      </c>
      <c r="X1524" s="163"/>
      <c r="Z1524" s="129">
        <f t="shared" si="122"/>
        <v>560</v>
      </c>
    </row>
    <row r="1525" spans="1:26" ht="14.1" customHeight="1">
      <c r="A1525" s="144">
        <v>1563</v>
      </c>
      <c r="B1525" s="485" t="s">
        <v>264</v>
      </c>
      <c r="C1525" s="303" t="s">
        <v>737</v>
      </c>
      <c r="D1525" s="304" t="s">
        <v>98</v>
      </c>
      <c r="E1525" s="694" t="s">
        <v>298</v>
      </c>
      <c r="F1525" s="303" t="s">
        <v>302</v>
      </c>
      <c r="G1525" s="122" t="s">
        <v>18</v>
      </c>
      <c r="H1525" s="534" t="s">
        <v>954</v>
      </c>
      <c r="I1525" s="582" t="str">
        <f>VLOOKUP(H1525,'9a-Typen vloeren'!$A$10:$B$40,2,FALSE)</f>
        <v>zie kwaliteitsontwerp</v>
      </c>
      <c r="J1525" s="433">
        <v>6</v>
      </c>
      <c r="K1525" s="433">
        <f t="shared" si="123"/>
        <v>0</v>
      </c>
      <c r="L1525" s="433">
        <f t="shared" si="124"/>
        <v>0</v>
      </c>
      <c r="M1525" s="433">
        <f t="shared" si="125"/>
        <v>0</v>
      </c>
      <c r="N1525" s="672"/>
      <c r="O1525" s="729">
        <f>IF(N1525="",0,N1525*K1525/'9b-Vloeronderhoud'!$F$4)</f>
        <v>0</v>
      </c>
      <c r="P1525" s="672"/>
      <c r="Q1525" s="729" t="e">
        <f>IF(O1525="",0,P1525*L1525/'9b-Vloeronderhoud'!$F$6)</f>
        <v>#DIV/0!</v>
      </c>
      <c r="R1525" s="449">
        <v>1</v>
      </c>
      <c r="S1525" s="672">
        <v>190</v>
      </c>
      <c r="T1525" s="161" t="e">
        <f t="shared" si="121"/>
        <v>#DIV/0!</v>
      </c>
      <c r="U1525" s="162">
        <f>IF(S1525="nio",0,IF(S1525&gt;0,VLOOKUP(G1525,'3-Productie normen'!A:K,VLOOKUP(S1525,'3-Productie normen'!L:N,3,FALSE),FALSE)))</f>
        <v>0</v>
      </c>
      <c r="V1525" s="162">
        <f>VLOOKUP(G1525,'3-Productie normen'!A:K,10,FALSE)</f>
        <v>1859.5880019121171</v>
      </c>
      <c r="W1525" s="163">
        <f>VLOOKUP(G1525,'3-Productie normen'!A:K,11,FALSE)</f>
        <v>0</v>
      </c>
      <c r="X1525" s="163"/>
      <c r="Z1525" s="129">
        <f t="shared" si="122"/>
        <v>1140</v>
      </c>
    </row>
    <row r="1526" spans="1:26" ht="14.1" customHeight="1">
      <c r="A1526" s="144">
        <v>1564</v>
      </c>
      <c r="B1526" s="485" t="s">
        <v>264</v>
      </c>
      <c r="C1526" s="303" t="s">
        <v>737</v>
      </c>
      <c r="D1526" s="304" t="s">
        <v>98</v>
      </c>
      <c r="E1526" s="694" t="s">
        <v>301</v>
      </c>
      <c r="F1526" s="303" t="s">
        <v>281</v>
      </c>
      <c r="G1526" s="460" t="s">
        <v>881</v>
      </c>
      <c r="H1526" s="303" t="s">
        <v>375</v>
      </c>
      <c r="I1526" s="582" t="str">
        <f>VLOOKUP(H1526,'9a-Typen vloeren'!$A$10:$B$40,2,FALSE)</f>
        <v>n.v.t.</v>
      </c>
      <c r="J1526" s="433">
        <v>0</v>
      </c>
      <c r="K1526" s="433">
        <f t="shared" si="123"/>
        <v>0</v>
      </c>
      <c r="L1526" s="433">
        <f t="shared" si="124"/>
        <v>0</v>
      </c>
      <c r="M1526" s="433">
        <f t="shared" si="125"/>
        <v>0</v>
      </c>
      <c r="N1526" s="672"/>
      <c r="O1526" s="729">
        <f>IF(N1526="",0,N1526*K1526/'9b-Vloeronderhoud'!$F$4)</f>
        <v>0</v>
      </c>
      <c r="P1526" s="672"/>
      <c r="Q1526" s="729" t="e">
        <f>IF(O1526="",0,P1526*L1526/'9b-Vloeronderhoud'!$F$6)</f>
        <v>#DIV/0!</v>
      </c>
      <c r="R1526" s="449">
        <v>1</v>
      </c>
      <c r="S1526" s="672" t="s">
        <v>179</v>
      </c>
      <c r="T1526" s="161">
        <f t="shared" si="121"/>
        <v>0</v>
      </c>
      <c r="U1526" s="162">
        <f>IF(S1526="nio",0,IF(S1526&gt;0,VLOOKUP(G1526,'3-Productie normen'!A:K,VLOOKUP(S1526,'3-Productie normen'!L:N,3,FALSE),FALSE)))</f>
        <v>0</v>
      </c>
      <c r="V1526" s="162">
        <f>VLOOKUP(G1526,'3-Productie normen'!A:K,10,FALSE)</f>
        <v>5262.809993648526</v>
      </c>
      <c r="W1526" s="163">
        <f>VLOOKUP(G1526,'3-Productie normen'!A:K,11,FALSE)</f>
        <v>0</v>
      </c>
      <c r="X1526" s="163"/>
      <c r="Z1526" s="129">
        <f t="shared" si="122"/>
        <v>0</v>
      </c>
    </row>
    <row r="1527" spans="1:26" ht="14.1" customHeight="1">
      <c r="A1527" s="144">
        <v>1565</v>
      </c>
      <c r="B1527" s="485" t="s">
        <v>264</v>
      </c>
      <c r="C1527" s="303" t="s">
        <v>737</v>
      </c>
      <c r="D1527" s="304" t="s">
        <v>98</v>
      </c>
      <c r="E1527" s="694" t="s">
        <v>303</v>
      </c>
      <c r="F1527" s="303" t="s">
        <v>341</v>
      </c>
      <c r="G1527" s="303" t="s">
        <v>190</v>
      </c>
      <c r="H1527" s="303" t="s">
        <v>101</v>
      </c>
      <c r="I1527" s="582" t="str">
        <f>VLOOKUP(H1527,'9a-Typen vloeren'!$A$10:$B$40,2,FALSE)</f>
        <v>Schrobben</v>
      </c>
      <c r="J1527" s="433">
        <v>6</v>
      </c>
      <c r="K1527" s="433">
        <f t="shared" si="123"/>
        <v>0</v>
      </c>
      <c r="L1527" s="433">
        <f t="shared" si="124"/>
        <v>6</v>
      </c>
      <c r="M1527" s="433">
        <f t="shared" si="125"/>
        <v>0</v>
      </c>
      <c r="N1527" s="672"/>
      <c r="O1527" s="729">
        <f>IF(N1527="",0,N1527*K1527/'9b-Vloeronderhoud'!$F$4)</f>
        <v>0</v>
      </c>
      <c r="P1527" s="672">
        <v>3</v>
      </c>
      <c r="Q1527" s="729" t="e">
        <f>IF(O1527="",0,P1527*L1527/'9b-Vloeronderhoud'!$F$6)</f>
        <v>#DIV/0!</v>
      </c>
      <c r="R1527" s="449">
        <v>1</v>
      </c>
      <c r="S1527" s="672">
        <v>40</v>
      </c>
      <c r="T1527" s="161" t="e">
        <f t="shared" si="121"/>
        <v>#DIV/0!</v>
      </c>
      <c r="U1527" s="162">
        <f>IF(S1527="nio",0,IF(S1527&gt;0,VLOOKUP(G1527,'3-Productie normen'!A:K,VLOOKUP(S1527,'3-Productie normen'!L:N,3,FALSE),FALSE)))</f>
        <v>0</v>
      </c>
      <c r="V1527" s="162">
        <f>VLOOKUP(G1527,'3-Productie normen'!A:K,10,FALSE)</f>
        <v>281.65000052452086</v>
      </c>
      <c r="W1527" s="163">
        <f>VLOOKUP(G1527,'3-Productie normen'!A:K,11,FALSE)</f>
        <v>0</v>
      </c>
      <c r="X1527" s="163"/>
      <c r="Z1527" s="129">
        <f t="shared" si="122"/>
        <v>240</v>
      </c>
    </row>
    <row r="1528" spans="1:26" ht="14.1" customHeight="1">
      <c r="A1528" s="144">
        <v>1566</v>
      </c>
      <c r="B1528" s="485" t="s">
        <v>264</v>
      </c>
      <c r="C1528" s="303" t="s">
        <v>737</v>
      </c>
      <c r="D1528" s="304" t="s">
        <v>98</v>
      </c>
      <c r="E1528" s="694" t="s">
        <v>305</v>
      </c>
      <c r="F1528" s="303" t="s">
        <v>221</v>
      </c>
      <c r="G1528" s="460" t="s">
        <v>221</v>
      </c>
      <c r="H1528" s="303" t="s">
        <v>100</v>
      </c>
      <c r="I1528" s="582" t="str">
        <f>VLOOKUP(H1528,'9a-Typen vloeren'!$A$10:$B$40,2,FALSE)</f>
        <v>Sprayen/ conserveren</v>
      </c>
      <c r="J1528" s="433">
        <v>24.379999160766602</v>
      </c>
      <c r="K1528" s="433">
        <f t="shared" si="123"/>
        <v>24.379999160766602</v>
      </c>
      <c r="L1528" s="433">
        <f t="shared" si="124"/>
        <v>0</v>
      </c>
      <c r="M1528" s="433">
        <f t="shared" si="125"/>
        <v>0</v>
      </c>
      <c r="N1528" s="672"/>
      <c r="O1528" s="729">
        <f>IF(N1528="",0,N1528*K1528/'9b-Vloeronderhoud'!$F$4)</f>
        <v>0</v>
      </c>
      <c r="P1528" s="672"/>
      <c r="Q1528" s="729" t="e">
        <f>IF(O1528="",0,P1528*L1528/'9b-Vloeronderhoud'!$F$6)</f>
        <v>#DIV/0!</v>
      </c>
      <c r="R1528" s="449">
        <v>1</v>
      </c>
      <c r="S1528" s="672">
        <v>80</v>
      </c>
      <c r="T1528" s="161" t="e">
        <f t="shared" si="121"/>
        <v>#DIV/0!</v>
      </c>
      <c r="U1528" s="162">
        <f>IF(S1528="nio",0,IF(S1528&gt;0,VLOOKUP(G1528,'3-Productie normen'!A:K,VLOOKUP(S1528,'3-Productie normen'!L:N,3,FALSE),FALSE)))</f>
        <v>0</v>
      </c>
      <c r="V1528" s="162">
        <f>VLOOKUP(G1528,'3-Productie normen'!A:K,10,FALSE)</f>
        <v>16013.110036668773</v>
      </c>
      <c r="W1528" s="163">
        <f>VLOOKUP(G1528,'3-Productie normen'!A:K,11,FALSE)</f>
        <v>0</v>
      </c>
      <c r="X1528" s="163"/>
      <c r="Z1528" s="129">
        <f t="shared" si="122"/>
        <v>1950.3999328613281</v>
      </c>
    </row>
    <row r="1529" spans="1:26" ht="14.1" customHeight="1">
      <c r="A1529" s="144">
        <v>1567</v>
      </c>
      <c r="B1529" s="485" t="s">
        <v>264</v>
      </c>
      <c r="C1529" s="303" t="s">
        <v>737</v>
      </c>
      <c r="D1529" s="304" t="s">
        <v>98</v>
      </c>
      <c r="E1529" s="694" t="s">
        <v>306</v>
      </c>
      <c r="F1529" s="303" t="s">
        <v>313</v>
      </c>
      <c r="G1529" s="460" t="s">
        <v>881</v>
      </c>
      <c r="H1529" s="303" t="s">
        <v>375</v>
      </c>
      <c r="I1529" s="582" t="str">
        <f>VLOOKUP(H1529,'9a-Typen vloeren'!$A$10:$B$40,2,FALSE)</f>
        <v>n.v.t.</v>
      </c>
      <c r="J1529" s="433">
        <v>0</v>
      </c>
      <c r="K1529" s="433">
        <f t="shared" si="123"/>
        <v>0</v>
      </c>
      <c r="L1529" s="433">
        <f t="shared" si="124"/>
        <v>0</v>
      </c>
      <c r="M1529" s="433">
        <f t="shared" si="125"/>
        <v>0</v>
      </c>
      <c r="N1529" s="672"/>
      <c r="O1529" s="729">
        <f>IF(N1529="",0,N1529*K1529/'9b-Vloeronderhoud'!$F$4)</f>
        <v>0</v>
      </c>
      <c r="P1529" s="672"/>
      <c r="Q1529" s="729" t="e">
        <f>IF(O1529="",0,P1529*L1529/'9b-Vloeronderhoud'!$F$6)</f>
        <v>#DIV/0!</v>
      </c>
      <c r="R1529" s="449">
        <v>1</v>
      </c>
      <c r="S1529" s="672" t="s">
        <v>179</v>
      </c>
      <c r="T1529" s="161">
        <f t="shared" si="121"/>
        <v>0</v>
      </c>
      <c r="U1529" s="162">
        <f>IF(S1529="nio",0,IF(S1529&gt;0,VLOOKUP(G1529,'3-Productie normen'!A:K,VLOOKUP(S1529,'3-Productie normen'!L:N,3,FALSE),FALSE)))</f>
        <v>0</v>
      </c>
      <c r="V1529" s="162">
        <f>VLOOKUP(G1529,'3-Productie normen'!A:K,10,FALSE)</f>
        <v>5262.809993648526</v>
      </c>
      <c r="W1529" s="163">
        <f>VLOOKUP(G1529,'3-Productie normen'!A:K,11,FALSE)</f>
        <v>0</v>
      </c>
      <c r="X1529" s="163"/>
      <c r="Z1529" s="129">
        <f t="shared" si="122"/>
        <v>0</v>
      </c>
    </row>
    <row r="1530" spans="1:26" ht="14.1" customHeight="1">
      <c r="A1530" s="144">
        <v>1568</v>
      </c>
      <c r="B1530" s="485" t="s">
        <v>264</v>
      </c>
      <c r="C1530" s="303" t="s">
        <v>737</v>
      </c>
      <c r="D1530" s="304" t="s">
        <v>98</v>
      </c>
      <c r="E1530" s="694" t="s">
        <v>307</v>
      </c>
      <c r="F1530" s="303" t="s">
        <v>872</v>
      </c>
      <c r="G1530" s="533" t="s">
        <v>189</v>
      </c>
      <c r="H1530" s="303" t="s">
        <v>100</v>
      </c>
      <c r="I1530" s="582" t="str">
        <f>VLOOKUP(H1530,'9a-Typen vloeren'!$A$10:$B$40,2,FALSE)</f>
        <v>Sprayen/ conserveren</v>
      </c>
      <c r="J1530" s="433">
        <v>16.620000839233398</v>
      </c>
      <c r="K1530" s="433">
        <f t="shared" si="123"/>
        <v>16.620000839233398</v>
      </c>
      <c r="L1530" s="433">
        <f t="shared" si="124"/>
        <v>0</v>
      </c>
      <c r="M1530" s="433">
        <f t="shared" si="125"/>
        <v>0</v>
      </c>
      <c r="N1530" s="672"/>
      <c r="O1530" s="729">
        <f>IF(N1530="",0,N1530*K1530/'9b-Vloeronderhoud'!$F$4)</f>
        <v>0</v>
      </c>
      <c r="P1530" s="672"/>
      <c r="Q1530" s="729" t="e">
        <f>IF(O1530="",0,P1530*L1530/'9b-Vloeronderhoud'!$F$6)</f>
        <v>#DIV/0!</v>
      </c>
      <c r="R1530" s="449">
        <v>1</v>
      </c>
      <c r="S1530" s="672">
        <v>40</v>
      </c>
      <c r="T1530" s="161" t="e">
        <f t="shared" si="121"/>
        <v>#DIV/0!</v>
      </c>
      <c r="U1530" s="162">
        <f>IF(S1530="nio",0,IF(S1530&gt;0,VLOOKUP(G1530,'3-Productie normen'!A:K,VLOOKUP(S1530,'3-Productie normen'!L:N,3,FALSE),FALSE)))</f>
        <v>0</v>
      </c>
      <c r="V1530" s="162">
        <f>VLOOKUP(G1530,'3-Productie normen'!A:K,10,FALSE)</f>
        <v>1494.1700078582762</v>
      </c>
      <c r="W1530" s="163">
        <f>VLOOKUP(G1530,'3-Productie normen'!A:K,11,FALSE)</f>
        <v>0</v>
      </c>
      <c r="X1530" s="163"/>
      <c r="Z1530" s="129">
        <f t="shared" si="122"/>
        <v>664.80003356933594</v>
      </c>
    </row>
    <row r="1531" spans="1:26" ht="14.1" customHeight="1">
      <c r="A1531" s="144">
        <v>1569</v>
      </c>
      <c r="B1531" s="485" t="s">
        <v>264</v>
      </c>
      <c r="C1531" s="303" t="s">
        <v>737</v>
      </c>
      <c r="D1531" s="304" t="s">
        <v>98</v>
      </c>
      <c r="E1531" s="694" t="s">
        <v>309</v>
      </c>
      <c r="F1531" s="303" t="s">
        <v>350</v>
      </c>
      <c r="G1531" s="460" t="s">
        <v>299</v>
      </c>
      <c r="H1531" s="303" t="s">
        <v>332</v>
      </c>
      <c r="I1531" s="582" t="str">
        <f>VLOOKUP(H1531,'9a-Typen vloeren'!$A$10:$B$40,2,FALSE)</f>
        <v>Sproei/extraheren</v>
      </c>
      <c r="J1531" s="433">
        <v>18</v>
      </c>
      <c r="K1531" s="433">
        <f t="shared" si="123"/>
        <v>0</v>
      </c>
      <c r="L1531" s="433">
        <f t="shared" si="124"/>
        <v>0</v>
      </c>
      <c r="M1531" s="433">
        <f t="shared" si="125"/>
        <v>18</v>
      </c>
      <c r="N1531" s="672"/>
      <c r="O1531" s="729">
        <f>IF(N1531="",0,N1531*K1531/'9b-Vloeronderhoud'!$F$4)</f>
        <v>0</v>
      </c>
      <c r="P1531" s="672"/>
      <c r="Q1531" s="729" t="e">
        <f>IF(O1531="",0,P1531*L1531/'9b-Vloeronderhoud'!$F$6)</f>
        <v>#DIV/0!</v>
      </c>
      <c r="R1531" s="449">
        <v>1</v>
      </c>
      <c r="S1531" s="672">
        <v>40</v>
      </c>
      <c r="T1531" s="161" t="e">
        <f t="shared" si="121"/>
        <v>#DIV/0!</v>
      </c>
      <c r="U1531" s="162">
        <f>IF(S1531="nio",0,IF(S1531&gt;0,VLOOKUP(G1531,'3-Productie normen'!A:K,VLOOKUP(S1531,'3-Productie normen'!L:N,3,FALSE),FALSE)))</f>
        <v>0</v>
      </c>
      <c r="V1531" s="162">
        <f>VLOOKUP(G1531,'3-Productie normen'!A:K,10,FALSE)</f>
        <v>1107.9100014114381</v>
      </c>
      <c r="W1531" s="163">
        <f>VLOOKUP(G1531,'3-Productie normen'!A:K,11,FALSE)</f>
        <v>0</v>
      </c>
      <c r="X1531" s="163"/>
      <c r="Z1531" s="129">
        <f t="shared" si="122"/>
        <v>720</v>
      </c>
    </row>
    <row r="1532" spans="1:26" ht="14.1" customHeight="1">
      <c r="A1532" s="144">
        <v>1570</v>
      </c>
      <c r="B1532" s="485" t="s">
        <v>264</v>
      </c>
      <c r="C1532" s="303" t="s">
        <v>737</v>
      </c>
      <c r="D1532" s="304" t="s">
        <v>98</v>
      </c>
      <c r="E1532" s="694" t="s">
        <v>311</v>
      </c>
      <c r="F1532" s="303" t="s">
        <v>282</v>
      </c>
      <c r="G1532" s="460" t="s">
        <v>881</v>
      </c>
      <c r="H1532" s="303" t="s">
        <v>375</v>
      </c>
      <c r="I1532" s="582" t="str">
        <f>VLOOKUP(H1532,'9a-Typen vloeren'!$A$10:$B$40,2,FALSE)</f>
        <v>n.v.t.</v>
      </c>
      <c r="J1532" s="433">
        <v>0</v>
      </c>
      <c r="K1532" s="433">
        <f t="shared" si="123"/>
        <v>0</v>
      </c>
      <c r="L1532" s="433">
        <f t="shared" si="124"/>
        <v>0</v>
      </c>
      <c r="M1532" s="433">
        <f t="shared" si="125"/>
        <v>0</v>
      </c>
      <c r="N1532" s="672"/>
      <c r="O1532" s="729">
        <f>IF(N1532="",0,N1532*K1532/'9b-Vloeronderhoud'!$F$4)</f>
        <v>0</v>
      </c>
      <c r="P1532" s="672"/>
      <c r="Q1532" s="729" t="e">
        <f>IF(O1532="",0,P1532*L1532/'9b-Vloeronderhoud'!$F$6)</f>
        <v>#DIV/0!</v>
      </c>
      <c r="R1532" s="449">
        <v>1</v>
      </c>
      <c r="S1532" s="672" t="s">
        <v>179</v>
      </c>
      <c r="T1532" s="161">
        <f t="shared" si="121"/>
        <v>0</v>
      </c>
      <c r="U1532" s="162">
        <f>IF(S1532="nio",0,IF(S1532&gt;0,VLOOKUP(G1532,'3-Productie normen'!A:K,VLOOKUP(S1532,'3-Productie normen'!L:N,3,FALSE),FALSE)))</f>
        <v>0</v>
      </c>
      <c r="V1532" s="162">
        <f>VLOOKUP(G1532,'3-Productie normen'!A:K,10,FALSE)</f>
        <v>5262.809993648526</v>
      </c>
      <c r="W1532" s="163">
        <f>VLOOKUP(G1532,'3-Productie normen'!A:K,11,FALSE)</f>
        <v>0</v>
      </c>
      <c r="X1532" s="163"/>
      <c r="Z1532" s="129">
        <f t="shared" si="122"/>
        <v>0</v>
      </c>
    </row>
    <row r="1533" spans="1:26" ht="14.1" customHeight="1">
      <c r="A1533" s="144">
        <v>1571</v>
      </c>
      <c r="B1533" s="485" t="s">
        <v>264</v>
      </c>
      <c r="C1533" s="303" t="s">
        <v>737</v>
      </c>
      <c r="D1533" s="304" t="s">
        <v>98</v>
      </c>
      <c r="E1533" s="694" t="s">
        <v>312</v>
      </c>
      <c r="F1533" s="303" t="s">
        <v>221</v>
      </c>
      <c r="G1533" s="122" t="s">
        <v>221</v>
      </c>
      <c r="H1533" s="303" t="s">
        <v>332</v>
      </c>
      <c r="I1533" s="582" t="str">
        <f>VLOOKUP(H1533,'9a-Typen vloeren'!$A$10:$B$40,2,FALSE)</f>
        <v>Sproei/extraheren</v>
      </c>
      <c r="J1533" s="433">
        <v>60</v>
      </c>
      <c r="K1533" s="433">
        <f t="shared" si="123"/>
        <v>0</v>
      </c>
      <c r="L1533" s="433">
        <f t="shared" si="124"/>
        <v>0</v>
      </c>
      <c r="M1533" s="433">
        <f t="shared" si="125"/>
        <v>60</v>
      </c>
      <c r="N1533" s="672"/>
      <c r="O1533" s="729">
        <f>IF(N1533="",0,N1533*K1533/'9b-Vloeronderhoud'!$F$4)</f>
        <v>0</v>
      </c>
      <c r="P1533" s="672"/>
      <c r="Q1533" s="729" t="e">
        <f>IF(O1533="",0,P1533*L1533/'9b-Vloeronderhoud'!$F$6)</f>
        <v>#DIV/0!</v>
      </c>
      <c r="R1533" s="449">
        <v>1</v>
      </c>
      <c r="S1533" s="688" t="s">
        <v>179</v>
      </c>
      <c r="T1533" s="161">
        <f t="shared" si="121"/>
        <v>0</v>
      </c>
      <c r="U1533" s="162">
        <f>IF(S1533="nio",0,IF(S1533&gt;0,VLOOKUP(G1533,'3-Productie normen'!A:K,VLOOKUP(S1533,'3-Productie normen'!L:N,3,FALSE),FALSE)))</f>
        <v>0</v>
      </c>
      <c r="V1533" s="162">
        <f>VLOOKUP(G1533,'3-Productie normen'!A:K,10,FALSE)</f>
        <v>16013.110036668773</v>
      </c>
      <c r="W1533" s="163">
        <f>VLOOKUP(G1533,'3-Productie normen'!A:K,11,FALSE)</f>
        <v>0</v>
      </c>
      <c r="X1533" s="163"/>
      <c r="Z1533" s="129">
        <f t="shared" si="122"/>
        <v>0</v>
      </c>
    </row>
    <row r="1534" spans="1:26" ht="14.1" customHeight="1">
      <c r="A1534" s="144">
        <v>1572</v>
      </c>
      <c r="B1534" s="485" t="s">
        <v>264</v>
      </c>
      <c r="C1534" s="303" t="s">
        <v>737</v>
      </c>
      <c r="D1534" s="304" t="s">
        <v>98</v>
      </c>
      <c r="E1534" s="694" t="s">
        <v>312</v>
      </c>
      <c r="F1534" s="303" t="s">
        <v>221</v>
      </c>
      <c r="G1534" s="460" t="s">
        <v>221</v>
      </c>
      <c r="H1534" s="303" t="s">
        <v>100</v>
      </c>
      <c r="I1534" s="582" t="str">
        <f>VLOOKUP(H1534,'9a-Typen vloeren'!$A$10:$B$40,2,FALSE)</f>
        <v>Sprayen/ conserveren</v>
      </c>
      <c r="J1534" s="433">
        <v>2</v>
      </c>
      <c r="K1534" s="433">
        <f t="shared" si="123"/>
        <v>2</v>
      </c>
      <c r="L1534" s="433">
        <f t="shared" si="124"/>
        <v>0</v>
      </c>
      <c r="M1534" s="433">
        <f t="shared" si="125"/>
        <v>0</v>
      </c>
      <c r="N1534" s="672"/>
      <c r="O1534" s="729">
        <f>IF(N1534="",0,N1534*K1534/'9b-Vloeronderhoud'!$F$4)</f>
        <v>0</v>
      </c>
      <c r="P1534" s="672"/>
      <c r="Q1534" s="729" t="e">
        <f>IF(O1534="",0,P1534*L1534/'9b-Vloeronderhoud'!$F$6)</f>
        <v>#DIV/0!</v>
      </c>
      <c r="R1534" s="449">
        <v>1</v>
      </c>
      <c r="S1534" s="672">
        <v>80</v>
      </c>
      <c r="T1534" s="161" t="e">
        <f t="shared" si="121"/>
        <v>#DIV/0!</v>
      </c>
      <c r="U1534" s="162">
        <f>IF(S1534="nio",0,IF(S1534&gt;0,VLOOKUP(G1534,'3-Productie normen'!A:K,VLOOKUP(S1534,'3-Productie normen'!L:N,3,FALSE),FALSE)))</f>
        <v>0</v>
      </c>
      <c r="V1534" s="162">
        <f>VLOOKUP(G1534,'3-Productie normen'!A:K,10,FALSE)</f>
        <v>16013.110036668773</v>
      </c>
      <c r="W1534" s="163">
        <f>VLOOKUP(G1534,'3-Productie normen'!A:K,11,FALSE)</f>
        <v>0</v>
      </c>
      <c r="X1534" s="163"/>
      <c r="Z1534" s="129">
        <f t="shared" si="122"/>
        <v>160</v>
      </c>
    </row>
    <row r="1535" spans="1:26" ht="14.1" customHeight="1">
      <c r="A1535" s="144">
        <v>1573</v>
      </c>
      <c r="B1535" s="485" t="s">
        <v>264</v>
      </c>
      <c r="C1535" s="303" t="s">
        <v>737</v>
      </c>
      <c r="D1535" s="304" t="s">
        <v>98</v>
      </c>
      <c r="E1535" s="694" t="s">
        <v>314</v>
      </c>
      <c r="F1535" s="303" t="s">
        <v>302</v>
      </c>
      <c r="G1535" s="533" t="s">
        <v>18</v>
      </c>
      <c r="H1535" s="534" t="s">
        <v>954</v>
      </c>
      <c r="I1535" s="582" t="str">
        <f>VLOOKUP(H1535,'9a-Typen vloeren'!$A$10:$B$40,2,FALSE)</f>
        <v>zie kwaliteitsontwerp</v>
      </c>
      <c r="J1535" s="433">
        <v>6</v>
      </c>
      <c r="K1535" s="433">
        <f t="shared" si="123"/>
        <v>0</v>
      </c>
      <c r="L1535" s="433">
        <f t="shared" si="124"/>
        <v>0</v>
      </c>
      <c r="M1535" s="433">
        <f t="shared" si="125"/>
        <v>0</v>
      </c>
      <c r="N1535" s="672"/>
      <c r="O1535" s="729">
        <f>IF(N1535="",0,N1535*K1535/'9b-Vloeronderhoud'!$F$4)</f>
        <v>0</v>
      </c>
      <c r="P1535" s="672"/>
      <c r="Q1535" s="729" t="e">
        <f>IF(O1535="",0,P1535*L1535/'9b-Vloeronderhoud'!$F$6)</f>
        <v>#DIV/0!</v>
      </c>
      <c r="R1535" s="449">
        <v>1</v>
      </c>
      <c r="S1535" s="672">
        <v>190</v>
      </c>
      <c r="T1535" s="161" t="e">
        <f t="shared" si="121"/>
        <v>#DIV/0!</v>
      </c>
      <c r="U1535" s="162">
        <f>IF(S1535="nio",0,IF(S1535&gt;0,VLOOKUP(G1535,'3-Productie normen'!A:K,VLOOKUP(S1535,'3-Productie normen'!L:N,3,FALSE),FALSE)))</f>
        <v>0</v>
      </c>
      <c r="V1535" s="162">
        <f>VLOOKUP(G1535,'3-Productie normen'!A:K,10,FALSE)</f>
        <v>1859.5880019121171</v>
      </c>
      <c r="W1535" s="163">
        <f>VLOOKUP(G1535,'3-Productie normen'!A:K,11,FALSE)</f>
        <v>0</v>
      </c>
      <c r="X1535" s="163"/>
      <c r="Z1535" s="129">
        <f t="shared" si="122"/>
        <v>1140</v>
      </c>
    </row>
    <row r="1536" spans="1:26" ht="14.1" customHeight="1">
      <c r="A1536" s="144">
        <v>1574</v>
      </c>
      <c r="B1536" s="485" t="s">
        <v>264</v>
      </c>
      <c r="C1536" s="303" t="s">
        <v>737</v>
      </c>
      <c r="D1536" s="304" t="s">
        <v>98</v>
      </c>
      <c r="E1536" s="694" t="s">
        <v>315</v>
      </c>
      <c r="F1536" s="303" t="s">
        <v>284</v>
      </c>
      <c r="G1536" s="122" t="s">
        <v>99</v>
      </c>
      <c r="H1536" s="303" t="s">
        <v>332</v>
      </c>
      <c r="I1536" s="582" t="str">
        <f>VLOOKUP(H1536,'9a-Typen vloeren'!$A$10:$B$40,2,FALSE)</f>
        <v>Sproei/extraheren</v>
      </c>
      <c r="J1536" s="433">
        <v>4</v>
      </c>
      <c r="K1536" s="433">
        <f t="shared" si="123"/>
        <v>0</v>
      </c>
      <c r="L1536" s="433">
        <f t="shared" si="124"/>
        <v>0</v>
      </c>
      <c r="M1536" s="433">
        <f t="shared" si="125"/>
        <v>4</v>
      </c>
      <c r="N1536" s="672"/>
      <c r="O1536" s="729">
        <f>IF(N1536="",0,N1536*K1536/'9b-Vloeronderhoud'!$F$4)</f>
        <v>0</v>
      </c>
      <c r="P1536" s="672"/>
      <c r="Q1536" s="729" t="e">
        <f>IF(O1536="",0,P1536*L1536/'9b-Vloeronderhoud'!$F$6)</f>
        <v>#DIV/0!</v>
      </c>
      <c r="R1536" s="449">
        <v>1</v>
      </c>
      <c r="S1536" s="672">
        <v>190</v>
      </c>
      <c r="T1536" s="161" t="e">
        <f t="shared" si="121"/>
        <v>#DIV/0!</v>
      </c>
      <c r="U1536" s="162">
        <f>IF(S1536="nio",0,IF(S1536&gt;0,VLOOKUP(G1536,'3-Productie normen'!A:K,VLOOKUP(S1536,'3-Productie normen'!L:N,3,FALSE),FALSE)))</f>
        <v>0</v>
      </c>
      <c r="V1536" s="162">
        <f>VLOOKUP(G1536,'3-Productie normen'!A:K,10,FALSE)</f>
        <v>726.97999910354622</v>
      </c>
      <c r="W1536" s="163">
        <f>VLOOKUP(G1536,'3-Productie normen'!A:K,11,FALSE)</f>
        <v>0</v>
      </c>
      <c r="X1536" s="163"/>
      <c r="Z1536" s="129">
        <f t="shared" si="122"/>
        <v>760</v>
      </c>
    </row>
    <row r="1537" spans="1:26" ht="14.1" customHeight="1">
      <c r="A1537" s="144">
        <v>1575</v>
      </c>
      <c r="B1537" s="485" t="s">
        <v>264</v>
      </c>
      <c r="C1537" s="303" t="s">
        <v>737</v>
      </c>
      <c r="D1537" s="304" t="s">
        <v>98</v>
      </c>
      <c r="E1537" s="694" t="s">
        <v>317</v>
      </c>
      <c r="F1537" s="303" t="s">
        <v>283</v>
      </c>
      <c r="G1537" s="122" t="s">
        <v>286</v>
      </c>
      <c r="H1537" s="303" t="s">
        <v>332</v>
      </c>
      <c r="I1537" s="582" t="str">
        <f>VLOOKUP(H1537,'9a-Typen vloeren'!$A$10:$B$40,2,FALSE)</f>
        <v>Sproei/extraheren</v>
      </c>
      <c r="J1537" s="433">
        <v>10</v>
      </c>
      <c r="K1537" s="433">
        <f t="shared" si="123"/>
        <v>0</v>
      </c>
      <c r="L1537" s="433">
        <f t="shared" si="124"/>
        <v>0</v>
      </c>
      <c r="M1537" s="433">
        <f t="shared" si="125"/>
        <v>10</v>
      </c>
      <c r="N1537" s="672"/>
      <c r="O1537" s="729">
        <f>IF(N1537="",0,N1537*K1537/'9b-Vloeronderhoud'!$F$4)</f>
        <v>0</v>
      </c>
      <c r="P1537" s="672"/>
      <c r="Q1537" s="729" t="e">
        <f>IF(O1537="",0,P1537*L1537/'9b-Vloeronderhoud'!$F$6)</f>
        <v>#DIV/0!</v>
      </c>
      <c r="R1537" s="449">
        <v>1</v>
      </c>
      <c r="S1537" s="672">
        <v>120</v>
      </c>
      <c r="T1537" s="161" t="e">
        <f t="shared" si="121"/>
        <v>#DIV/0!</v>
      </c>
      <c r="U1537" s="162">
        <f>IF(S1537="nio",0,IF(S1537&gt;0,VLOOKUP(G1537,'3-Productie normen'!A:K,VLOOKUP(S1537,'3-Productie normen'!L:N,3,FALSE),FALSE)))</f>
        <v>0</v>
      </c>
      <c r="V1537" s="162">
        <f>VLOOKUP(G1537,'3-Productie normen'!A:K,10,FALSE)</f>
        <v>6152.9500017547598</v>
      </c>
      <c r="W1537" s="163">
        <f>VLOOKUP(G1537,'3-Productie normen'!A:K,11,FALSE)</f>
        <v>0</v>
      </c>
      <c r="X1537" s="163"/>
      <c r="Z1537" s="129">
        <f t="shared" si="122"/>
        <v>1200</v>
      </c>
    </row>
    <row r="1538" spans="1:26" ht="14.1" customHeight="1">
      <c r="A1538" s="144">
        <v>1576</v>
      </c>
      <c r="B1538" s="485" t="s">
        <v>264</v>
      </c>
      <c r="C1538" s="303" t="s">
        <v>737</v>
      </c>
      <c r="D1538" s="304" t="s">
        <v>98</v>
      </c>
      <c r="E1538" s="694" t="s">
        <v>318</v>
      </c>
      <c r="F1538" s="303" t="s">
        <v>711</v>
      </c>
      <c r="G1538" s="460" t="s">
        <v>881</v>
      </c>
      <c r="H1538" s="303" t="s">
        <v>100</v>
      </c>
      <c r="I1538" s="582" t="str">
        <f>VLOOKUP(H1538,'9a-Typen vloeren'!$A$10:$B$40,2,FALSE)</f>
        <v>Sprayen/ conserveren</v>
      </c>
      <c r="J1538" s="433">
        <v>80</v>
      </c>
      <c r="K1538" s="433">
        <f t="shared" si="123"/>
        <v>0</v>
      </c>
      <c r="L1538" s="433">
        <f t="shared" si="124"/>
        <v>0</v>
      </c>
      <c r="M1538" s="433">
        <f t="shared" si="125"/>
        <v>0</v>
      </c>
      <c r="N1538" s="672"/>
      <c r="O1538" s="729">
        <f>IF(N1538="",0,N1538*K1538/'9b-Vloeronderhoud'!$F$4)</f>
        <v>0</v>
      </c>
      <c r="P1538" s="672"/>
      <c r="Q1538" s="729" t="e">
        <f>IF(O1538="",0,P1538*L1538/'9b-Vloeronderhoud'!$F$6)</f>
        <v>#DIV/0!</v>
      </c>
      <c r="R1538" s="449">
        <v>1</v>
      </c>
      <c r="S1538" s="672" t="s">
        <v>179</v>
      </c>
      <c r="T1538" s="161">
        <f t="shared" si="121"/>
        <v>0</v>
      </c>
      <c r="U1538" s="162">
        <f>IF(S1538="nio",0,IF(S1538&gt;0,VLOOKUP(G1538,'3-Productie normen'!A:K,VLOOKUP(S1538,'3-Productie normen'!L:N,3,FALSE),FALSE)))</f>
        <v>0</v>
      </c>
      <c r="V1538" s="162">
        <f>VLOOKUP(G1538,'3-Productie normen'!A:K,10,FALSE)</f>
        <v>5262.809993648526</v>
      </c>
      <c r="W1538" s="163">
        <f>VLOOKUP(G1538,'3-Productie normen'!A:K,11,FALSE)</f>
        <v>0</v>
      </c>
      <c r="X1538" s="163"/>
      <c r="Z1538" s="129">
        <f t="shared" si="122"/>
        <v>0</v>
      </c>
    </row>
    <row r="1539" spans="1:26" ht="14.1" customHeight="1">
      <c r="A1539" s="144">
        <v>1577</v>
      </c>
      <c r="B1539" s="485" t="s">
        <v>264</v>
      </c>
      <c r="C1539" s="303" t="s">
        <v>737</v>
      </c>
      <c r="D1539" s="304" t="s">
        <v>98</v>
      </c>
      <c r="E1539" s="694" t="s">
        <v>712</v>
      </c>
      <c r="F1539" s="303" t="s">
        <v>713</v>
      </c>
      <c r="G1539" s="122" t="s">
        <v>18</v>
      </c>
      <c r="H1539" s="534" t="s">
        <v>954</v>
      </c>
      <c r="I1539" s="582" t="str">
        <f>VLOOKUP(H1539,'9a-Typen vloeren'!$A$10:$B$40,2,FALSE)</f>
        <v>zie kwaliteitsontwerp</v>
      </c>
      <c r="J1539" s="433">
        <v>6</v>
      </c>
      <c r="K1539" s="433">
        <f t="shared" si="123"/>
        <v>0</v>
      </c>
      <c r="L1539" s="433">
        <f t="shared" si="124"/>
        <v>0</v>
      </c>
      <c r="M1539" s="433">
        <f t="shared" si="125"/>
        <v>0</v>
      </c>
      <c r="N1539" s="672"/>
      <c r="O1539" s="729">
        <f>IF(N1539="",0,N1539*K1539/'9b-Vloeronderhoud'!$F$4)</f>
        <v>0</v>
      </c>
      <c r="P1539" s="672"/>
      <c r="Q1539" s="729" t="e">
        <f>IF(O1539="",0,P1539*L1539/'9b-Vloeronderhoud'!$F$6)</f>
        <v>#DIV/0!</v>
      </c>
      <c r="R1539" s="449">
        <v>1</v>
      </c>
      <c r="S1539" s="672">
        <v>190</v>
      </c>
      <c r="T1539" s="161" t="e">
        <f t="shared" si="121"/>
        <v>#DIV/0!</v>
      </c>
      <c r="U1539" s="162">
        <f>IF(S1539="nio",0,IF(S1539&gt;0,VLOOKUP(G1539,'3-Productie normen'!A:K,VLOOKUP(S1539,'3-Productie normen'!L:N,3,FALSE),FALSE)))</f>
        <v>0</v>
      </c>
      <c r="V1539" s="162">
        <f>VLOOKUP(G1539,'3-Productie normen'!A:K,10,FALSE)</f>
        <v>1859.5880019121171</v>
      </c>
      <c r="W1539" s="163">
        <f>VLOOKUP(G1539,'3-Productie normen'!A:K,11,FALSE)</f>
        <v>0</v>
      </c>
      <c r="X1539" s="163"/>
      <c r="Z1539" s="129">
        <f t="shared" si="122"/>
        <v>1140</v>
      </c>
    </row>
    <row r="1540" spans="1:26" ht="14.1" customHeight="1">
      <c r="A1540" s="144">
        <v>1578</v>
      </c>
      <c r="B1540" s="485" t="s">
        <v>264</v>
      </c>
      <c r="C1540" s="303" t="s">
        <v>737</v>
      </c>
      <c r="D1540" s="304" t="s">
        <v>98</v>
      </c>
      <c r="E1540" s="694" t="s">
        <v>319</v>
      </c>
      <c r="F1540" s="303" t="s">
        <v>221</v>
      </c>
      <c r="G1540" s="122" t="s">
        <v>221</v>
      </c>
      <c r="H1540" s="303" t="s">
        <v>332</v>
      </c>
      <c r="I1540" s="582" t="str">
        <f>VLOOKUP(H1540,'9a-Typen vloeren'!$A$10:$B$40,2,FALSE)</f>
        <v>Sproei/extraheren</v>
      </c>
      <c r="J1540" s="433">
        <v>60</v>
      </c>
      <c r="K1540" s="433">
        <f t="shared" si="123"/>
        <v>0</v>
      </c>
      <c r="L1540" s="433">
        <f t="shared" si="124"/>
        <v>0</v>
      </c>
      <c r="M1540" s="433">
        <f t="shared" si="125"/>
        <v>60</v>
      </c>
      <c r="N1540" s="672"/>
      <c r="O1540" s="729">
        <f>IF(N1540="",0,N1540*K1540/'9b-Vloeronderhoud'!$F$4)</f>
        <v>0</v>
      </c>
      <c r="P1540" s="672"/>
      <c r="Q1540" s="729" t="e">
        <f>IF(O1540="",0,P1540*L1540/'9b-Vloeronderhoud'!$F$6)</f>
        <v>#DIV/0!</v>
      </c>
      <c r="R1540" s="449">
        <v>1</v>
      </c>
      <c r="S1540" s="672">
        <v>80</v>
      </c>
      <c r="T1540" s="161" t="e">
        <f t="shared" si="121"/>
        <v>#DIV/0!</v>
      </c>
      <c r="U1540" s="162">
        <f>IF(S1540="nio",0,IF(S1540&gt;0,VLOOKUP(G1540,'3-Productie normen'!A:K,VLOOKUP(S1540,'3-Productie normen'!L:N,3,FALSE),FALSE)))</f>
        <v>0</v>
      </c>
      <c r="V1540" s="162">
        <f>VLOOKUP(G1540,'3-Productie normen'!A:K,10,FALSE)</f>
        <v>16013.110036668773</v>
      </c>
      <c r="W1540" s="163">
        <f>VLOOKUP(G1540,'3-Productie normen'!A:K,11,FALSE)</f>
        <v>0</v>
      </c>
      <c r="X1540" s="163"/>
      <c r="Z1540" s="129">
        <f t="shared" si="122"/>
        <v>4800</v>
      </c>
    </row>
    <row r="1541" spans="1:26" ht="14.1" customHeight="1">
      <c r="A1541" s="144">
        <v>1579</v>
      </c>
      <c r="B1541" s="485" t="s">
        <v>264</v>
      </c>
      <c r="C1541" s="303" t="s">
        <v>737</v>
      </c>
      <c r="D1541" s="304" t="s">
        <v>98</v>
      </c>
      <c r="E1541" s="694" t="s">
        <v>319</v>
      </c>
      <c r="F1541" s="494" t="s">
        <v>221</v>
      </c>
      <c r="G1541" s="122" t="s">
        <v>221</v>
      </c>
      <c r="H1541" s="303" t="s">
        <v>100</v>
      </c>
      <c r="I1541" s="582" t="str">
        <f>VLOOKUP(H1541,'9a-Typen vloeren'!$A$10:$B$40,2,FALSE)</f>
        <v>Sprayen/ conserveren</v>
      </c>
      <c r="J1541" s="433">
        <v>2</v>
      </c>
      <c r="K1541" s="433">
        <f t="shared" si="123"/>
        <v>2</v>
      </c>
      <c r="L1541" s="433">
        <f t="shared" si="124"/>
        <v>0</v>
      </c>
      <c r="M1541" s="433">
        <f t="shared" si="125"/>
        <v>0</v>
      </c>
      <c r="N1541" s="672"/>
      <c r="O1541" s="729">
        <f>IF(N1541="",0,N1541*K1541/'9b-Vloeronderhoud'!$F$4)</f>
        <v>0</v>
      </c>
      <c r="P1541" s="672"/>
      <c r="Q1541" s="729" t="e">
        <f>IF(O1541="",0,P1541*L1541/'9b-Vloeronderhoud'!$F$6)</f>
        <v>#DIV/0!</v>
      </c>
      <c r="R1541" s="449">
        <v>1</v>
      </c>
      <c r="S1541" s="672">
        <v>80</v>
      </c>
      <c r="T1541" s="161" t="e">
        <f t="shared" si="121"/>
        <v>#DIV/0!</v>
      </c>
      <c r="U1541" s="162">
        <f>IF(S1541="nio",0,IF(S1541&gt;0,VLOOKUP(G1541,'3-Productie normen'!A:K,VLOOKUP(S1541,'3-Productie normen'!L:N,3,FALSE),FALSE)))</f>
        <v>0</v>
      </c>
      <c r="V1541" s="162">
        <f>VLOOKUP(G1541,'3-Productie normen'!A:K,10,FALSE)</f>
        <v>16013.110036668773</v>
      </c>
      <c r="W1541" s="163">
        <f>VLOOKUP(G1541,'3-Productie normen'!A:K,11,FALSE)</f>
        <v>0</v>
      </c>
      <c r="X1541" s="163"/>
      <c r="Z1541" s="129">
        <f t="shared" si="122"/>
        <v>160</v>
      </c>
    </row>
    <row r="1542" spans="1:26" ht="14.1" customHeight="1">
      <c r="A1542" s="144">
        <v>1580</v>
      </c>
      <c r="B1542" s="485" t="s">
        <v>264</v>
      </c>
      <c r="C1542" s="303" t="s">
        <v>737</v>
      </c>
      <c r="D1542" s="304" t="s">
        <v>98</v>
      </c>
      <c r="E1542" s="694" t="s">
        <v>320</v>
      </c>
      <c r="F1542" s="303" t="s">
        <v>302</v>
      </c>
      <c r="G1542" s="460" t="s">
        <v>18</v>
      </c>
      <c r="H1542" s="534" t="s">
        <v>954</v>
      </c>
      <c r="I1542" s="582" t="str">
        <f>VLOOKUP(H1542,'9a-Typen vloeren'!$A$10:$B$40,2,FALSE)</f>
        <v>zie kwaliteitsontwerp</v>
      </c>
      <c r="J1542" s="433">
        <v>6</v>
      </c>
      <c r="K1542" s="433">
        <f t="shared" si="123"/>
        <v>0</v>
      </c>
      <c r="L1542" s="433">
        <f t="shared" si="124"/>
        <v>0</v>
      </c>
      <c r="M1542" s="433">
        <f t="shared" si="125"/>
        <v>0</v>
      </c>
      <c r="N1542" s="672"/>
      <c r="O1542" s="729">
        <f>IF(N1542="",0,N1542*K1542/'9b-Vloeronderhoud'!$F$4)</f>
        <v>0</v>
      </c>
      <c r="P1542" s="672"/>
      <c r="Q1542" s="729" t="e">
        <f>IF(O1542="",0,P1542*L1542/'9b-Vloeronderhoud'!$F$6)</f>
        <v>#DIV/0!</v>
      </c>
      <c r="R1542" s="449">
        <v>1</v>
      </c>
      <c r="S1542" s="672">
        <v>190</v>
      </c>
      <c r="T1542" s="161" t="e">
        <f t="shared" si="121"/>
        <v>#DIV/0!</v>
      </c>
      <c r="U1542" s="162">
        <f>IF(S1542="nio",0,IF(S1542&gt;0,VLOOKUP(G1542,'3-Productie normen'!A:K,VLOOKUP(S1542,'3-Productie normen'!L:N,3,FALSE),FALSE)))</f>
        <v>0</v>
      </c>
      <c r="V1542" s="162">
        <f>VLOOKUP(G1542,'3-Productie normen'!A:K,10,FALSE)</f>
        <v>1859.5880019121171</v>
      </c>
      <c r="W1542" s="163">
        <f>VLOOKUP(G1542,'3-Productie normen'!A:K,11,FALSE)</f>
        <v>0</v>
      </c>
      <c r="X1542" s="163"/>
      <c r="Z1542" s="129">
        <f t="shared" si="122"/>
        <v>1140</v>
      </c>
    </row>
    <row r="1543" spans="1:26" ht="14.1" customHeight="1">
      <c r="A1543" s="144">
        <v>1581</v>
      </c>
      <c r="B1543" s="485" t="s">
        <v>264</v>
      </c>
      <c r="C1543" s="303" t="s">
        <v>737</v>
      </c>
      <c r="D1543" s="304" t="s">
        <v>98</v>
      </c>
      <c r="E1543" s="694" t="s">
        <v>321</v>
      </c>
      <c r="F1543" s="303" t="s">
        <v>221</v>
      </c>
      <c r="G1543" s="122" t="s">
        <v>221</v>
      </c>
      <c r="H1543" s="303" t="s">
        <v>332</v>
      </c>
      <c r="I1543" s="582" t="str">
        <f>VLOOKUP(H1543,'9a-Typen vloeren'!$A$10:$B$40,2,FALSE)</f>
        <v>Sproei/extraheren</v>
      </c>
      <c r="J1543" s="433">
        <v>60</v>
      </c>
      <c r="K1543" s="433">
        <f t="shared" si="123"/>
        <v>0</v>
      </c>
      <c r="L1543" s="433">
        <f t="shared" si="124"/>
        <v>0</v>
      </c>
      <c r="M1543" s="433">
        <f t="shared" si="125"/>
        <v>60</v>
      </c>
      <c r="N1543" s="672"/>
      <c r="O1543" s="729">
        <f>IF(N1543="",0,N1543*K1543/'9b-Vloeronderhoud'!$F$4)</f>
        <v>0</v>
      </c>
      <c r="P1543" s="672"/>
      <c r="Q1543" s="729" t="e">
        <f>IF(O1543="",0,P1543*L1543/'9b-Vloeronderhoud'!$F$6)</f>
        <v>#DIV/0!</v>
      </c>
      <c r="R1543" s="449">
        <v>1</v>
      </c>
      <c r="S1543" s="672">
        <v>80</v>
      </c>
      <c r="T1543" s="161" t="e">
        <f t="shared" si="121"/>
        <v>#DIV/0!</v>
      </c>
      <c r="U1543" s="162">
        <f>IF(S1543="nio",0,IF(S1543&gt;0,VLOOKUP(G1543,'3-Productie normen'!A:K,VLOOKUP(S1543,'3-Productie normen'!L:N,3,FALSE),FALSE)))</f>
        <v>0</v>
      </c>
      <c r="V1543" s="162">
        <f>VLOOKUP(G1543,'3-Productie normen'!A:K,10,FALSE)</f>
        <v>16013.110036668773</v>
      </c>
      <c r="W1543" s="163">
        <f>VLOOKUP(G1543,'3-Productie normen'!A:K,11,FALSE)</f>
        <v>0</v>
      </c>
      <c r="X1543" s="163"/>
      <c r="Z1543" s="129">
        <f t="shared" si="122"/>
        <v>4800</v>
      </c>
    </row>
    <row r="1544" spans="1:26" ht="14.1" customHeight="1">
      <c r="A1544" s="144">
        <v>1582</v>
      </c>
      <c r="B1544" s="485" t="s">
        <v>264</v>
      </c>
      <c r="C1544" s="303" t="s">
        <v>737</v>
      </c>
      <c r="D1544" s="304" t="s">
        <v>98</v>
      </c>
      <c r="E1544" s="694" t="s">
        <v>321</v>
      </c>
      <c r="F1544" s="303" t="s">
        <v>221</v>
      </c>
      <c r="G1544" s="460" t="s">
        <v>221</v>
      </c>
      <c r="H1544" s="303" t="s">
        <v>100</v>
      </c>
      <c r="I1544" s="582" t="str">
        <f>VLOOKUP(H1544,'9a-Typen vloeren'!$A$10:$B$40,2,FALSE)</f>
        <v>Sprayen/ conserveren</v>
      </c>
      <c r="J1544" s="433">
        <v>2</v>
      </c>
      <c r="K1544" s="433">
        <f t="shared" si="123"/>
        <v>2</v>
      </c>
      <c r="L1544" s="433">
        <f t="shared" si="124"/>
        <v>0</v>
      </c>
      <c r="M1544" s="433">
        <f t="shared" si="125"/>
        <v>0</v>
      </c>
      <c r="N1544" s="672"/>
      <c r="O1544" s="729">
        <f>IF(N1544="",0,N1544*K1544/'9b-Vloeronderhoud'!$F$4)</f>
        <v>0</v>
      </c>
      <c r="P1544" s="672"/>
      <c r="Q1544" s="729" t="e">
        <f>IF(O1544="",0,P1544*L1544/'9b-Vloeronderhoud'!$F$6)</f>
        <v>#DIV/0!</v>
      </c>
      <c r="R1544" s="449">
        <v>1</v>
      </c>
      <c r="S1544" s="672">
        <v>80</v>
      </c>
      <c r="T1544" s="161" t="e">
        <f t="shared" si="121"/>
        <v>#DIV/0!</v>
      </c>
      <c r="U1544" s="162">
        <f>IF(S1544="nio",0,IF(S1544&gt;0,VLOOKUP(G1544,'3-Productie normen'!A:K,VLOOKUP(S1544,'3-Productie normen'!L:N,3,FALSE),FALSE)))</f>
        <v>0</v>
      </c>
      <c r="V1544" s="162">
        <f>VLOOKUP(G1544,'3-Productie normen'!A:K,10,FALSE)</f>
        <v>16013.110036668773</v>
      </c>
      <c r="W1544" s="163">
        <f>VLOOKUP(G1544,'3-Productie normen'!A:K,11,FALSE)</f>
        <v>0</v>
      </c>
      <c r="X1544" s="163"/>
      <c r="Z1544" s="129">
        <f t="shared" si="122"/>
        <v>160</v>
      </c>
    </row>
    <row r="1545" spans="1:26" ht="14.1" customHeight="1">
      <c r="A1545" s="144">
        <v>1583</v>
      </c>
      <c r="B1545" s="485" t="s">
        <v>264</v>
      </c>
      <c r="C1545" s="303" t="s">
        <v>737</v>
      </c>
      <c r="D1545" s="304" t="s">
        <v>98</v>
      </c>
      <c r="E1545" s="694" t="s">
        <v>323</v>
      </c>
      <c r="F1545" s="303" t="s">
        <v>302</v>
      </c>
      <c r="G1545" s="126" t="s">
        <v>18</v>
      </c>
      <c r="H1545" s="534" t="s">
        <v>954</v>
      </c>
      <c r="I1545" s="582" t="str">
        <f>VLOOKUP(H1545,'9a-Typen vloeren'!$A$10:$B$40,2,FALSE)</f>
        <v>zie kwaliteitsontwerp</v>
      </c>
      <c r="J1545" s="433">
        <v>6</v>
      </c>
      <c r="K1545" s="433">
        <f t="shared" si="123"/>
        <v>0</v>
      </c>
      <c r="L1545" s="433">
        <f t="shared" si="124"/>
        <v>0</v>
      </c>
      <c r="M1545" s="433">
        <f t="shared" si="125"/>
        <v>0</v>
      </c>
      <c r="N1545" s="672"/>
      <c r="O1545" s="729">
        <f>IF(N1545="",0,N1545*K1545/'9b-Vloeronderhoud'!$F$4)</f>
        <v>0</v>
      </c>
      <c r="P1545" s="672"/>
      <c r="Q1545" s="729" t="e">
        <f>IF(O1545="",0,P1545*L1545/'9b-Vloeronderhoud'!$F$6)</f>
        <v>#DIV/0!</v>
      </c>
      <c r="R1545" s="449">
        <v>1</v>
      </c>
      <c r="S1545" s="672">
        <v>190</v>
      </c>
      <c r="T1545" s="161" t="e">
        <f t="shared" si="121"/>
        <v>#DIV/0!</v>
      </c>
      <c r="U1545" s="162">
        <f>IF(S1545="nio",0,IF(S1545&gt;0,VLOOKUP(G1545,'3-Productie normen'!A:K,VLOOKUP(S1545,'3-Productie normen'!L:N,3,FALSE),FALSE)))</f>
        <v>0</v>
      </c>
      <c r="V1545" s="162">
        <f>VLOOKUP(G1545,'3-Productie normen'!A:K,10,FALSE)</f>
        <v>1859.5880019121171</v>
      </c>
      <c r="W1545" s="163">
        <f>VLOOKUP(G1545,'3-Productie normen'!A:K,11,FALSE)</f>
        <v>0</v>
      </c>
      <c r="X1545" s="163"/>
      <c r="Z1545" s="129">
        <f t="shared" si="122"/>
        <v>1140</v>
      </c>
    </row>
    <row r="1546" spans="1:26" ht="14.1" customHeight="1">
      <c r="A1546" s="144">
        <v>1584</v>
      </c>
      <c r="B1546" s="485" t="s">
        <v>264</v>
      </c>
      <c r="C1546" s="303" t="s">
        <v>737</v>
      </c>
      <c r="D1546" s="304" t="s">
        <v>98</v>
      </c>
      <c r="E1546" s="694" t="s">
        <v>325</v>
      </c>
      <c r="F1546" s="303" t="s">
        <v>221</v>
      </c>
      <c r="G1546" s="460" t="s">
        <v>221</v>
      </c>
      <c r="H1546" s="303" t="s">
        <v>332</v>
      </c>
      <c r="I1546" s="582" t="str">
        <f>VLOOKUP(H1546,'9a-Typen vloeren'!$A$10:$B$40,2,FALSE)</f>
        <v>Sproei/extraheren</v>
      </c>
      <c r="J1546" s="433">
        <v>52.569999694824219</v>
      </c>
      <c r="K1546" s="433">
        <f t="shared" si="123"/>
        <v>0</v>
      </c>
      <c r="L1546" s="433">
        <f t="shared" si="124"/>
        <v>0</v>
      </c>
      <c r="M1546" s="433">
        <f t="shared" si="125"/>
        <v>52.569999694824219</v>
      </c>
      <c r="N1546" s="672"/>
      <c r="O1546" s="729">
        <f>IF(N1546="",0,N1546*K1546/'9b-Vloeronderhoud'!$F$4)</f>
        <v>0</v>
      </c>
      <c r="P1546" s="672"/>
      <c r="Q1546" s="729" t="e">
        <f>IF(O1546="",0,P1546*L1546/'9b-Vloeronderhoud'!$F$6)</f>
        <v>#DIV/0!</v>
      </c>
      <c r="R1546" s="449">
        <v>1</v>
      </c>
      <c r="S1546" s="672">
        <v>80</v>
      </c>
      <c r="T1546" s="161" t="e">
        <f t="shared" ref="T1546:T1609" si="126">IF(S1546="nio",0,IF(S1546&gt;0,S1546*J1546/U1546,0))*R1546</f>
        <v>#DIV/0!</v>
      </c>
      <c r="U1546" s="162">
        <f>IF(S1546="nio",0,IF(S1546&gt;0,VLOOKUP(G1546,'3-Productie normen'!A:K,VLOOKUP(S1546,'3-Productie normen'!L:N,3,FALSE),FALSE)))</f>
        <v>0</v>
      </c>
      <c r="V1546" s="162">
        <f>VLOOKUP(G1546,'3-Productie normen'!A:K,10,FALSE)</f>
        <v>16013.110036668773</v>
      </c>
      <c r="W1546" s="163">
        <f>VLOOKUP(G1546,'3-Productie normen'!A:K,11,FALSE)</f>
        <v>0</v>
      </c>
      <c r="X1546" s="163"/>
      <c r="Z1546" s="129">
        <f t="shared" ref="Z1546:Z1609" si="127">SUM(S1546:S1546)*J1546</f>
        <v>4205.5999755859375</v>
      </c>
    </row>
    <row r="1547" spans="1:26" ht="14.1" customHeight="1">
      <c r="A1547" s="144">
        <v>1585</v>
      </c>
      <c r="B1547" s="485" t="s">
        <v>264</v>
      </c>
      <c r="C1547" s="303" t="s">
        <v>737</v>
      </c>
      <c r="D1547" s="304" t="s">
        <v>98</v>
      </c>
      <c r="E1547" s="694" t="s">
        <v>325</v>
      </c>
      <c r="F1547" s="303" t="s">
        <v>221</v>
      </c>
      <c r="G1547" s="122" t="s">
        <v>221</v>
      </c>
      <c r="H1547" s="303" t="s">
        <v>100</v>
      </c>
      <c r="I1547" s="582" t="str">
        <f>VLOOKUP(H1547,'9a-Typen vloeren'!$A$10:$B$40,2,FALSE)</f>
        <v>Sprayen/ conserveren</v>
      </c>
      <c r="J1547" s="433">
        <v>2</v>
      </c>
      <c r="K1547" s="433">
        <f t="shared" si="123"/>
        <v>2</v>
      </c>
      <c r="L1547" s="433">
        <f t="shared" si="124"/>
        <v>0</v>
      </c>
      <c r="M1547" s="433">
        <f t="shared" si="125"/>
        <v>0</v>
      </c>
      <c r="N1547" s="672"/>
      <c r="O1547" s="729">
        <f>IF(N1547="",0,N1547*K1547/'9b-Vloeronderhoud'!$F$4)</f>
        <v>0</v>
      </c>
      <c r="P1547" s="672"/>
      <c r="Q1547" s="729" t="e">
        <f>IF(O1547="",0,P1547*L1547/'9b-Vloeronderhoud'!$F$6)</f>
        <v>#DIV/0!</v>
      </c>
      <c r="R1547" s="449">
        <v>1</v>
      </c>
      <c r="S1547" s="672">
        <v>80</v>
      </c>
      <c r="T1547" s="161" t="e">
        <f t="shared" si="126"/>
        <v>#DIV/0!</v>
      </c>
      <c r="U1547" s="162">
        <f>IF(S1547="nio",0,IF(S1547&gt;0,VLOOKUP(G1547,'3-Productie normen'!A:K,VLOOKUP(S1547,'3-Productie normen'!L:N,3,FALSE),FALSE)))</f>
        <v>0</v>
      </c>
      <c r="V1547" s="162">
        <f>VLOOKUP(G1547,'3-Productie normen'!A:K,10,FALSE)</f>
        <v>16013.110036668773</v>
      </c>
      <c r="W1547" s="163">
        <f>VLOOKUP(G1547,'3-Productie normen'!A:K,11,FALSE)</f>
        <v>0</v>
      </c>
      <c r="X1547" s="163"/>
      <c r="Z1547" s="129">
        <f t="shared" si="127"/>
        <v>160</v>
      </c>
    </row>
    <row r="1548" spans="1:26" ht="14.1" customHeight="1">
      <c r="A1548" s="144">
        <v>1586</v>
      </c>
      <c r="B1548" s="485" t="s">
        <v>264</v>
      </c>
      <c r="C1548" s="303" t="s">
        <v>737</v>
      </c>
      <c r="D1548" s="304" t="s">
        <v>98</v>
      </c>
      <c r="E1548" s="694" t="s">
        <v>326</v>
      </c>
      <c r="F1548" s="303" t="s">
        <v>221</v>
      </c>
      <c r="G1548" s="546" t="s">
        <v>221</v>
      </c>
      <c r="H1548" s="303" t="s">
        <v>332</v>
      </c>
      <c r="I1548" s="582" t="str">
        <f>VLOOKUP(H1548,'9a-Typen vloeren'!$A$10:$B$40,2,FALSE)</f>
        <v>Sproei/extraheren</v>
      </c>
      <c r="J1548" s="433">
        <v>4.9499998092651367</v>
      </c>
      <c r="K1548" s="433">
        <f t="shared" si="123"/>
        <v>0</v>
      </c>
      <c r="L1548" s="433">
        <f t="shared" si="124"/>
        <v>0</v>
      </c>
      <c r="M1548" s="433">
        <f t="shared" si="125"/>
        <v>4.9499998092651367</v>
      </c>
      <c r="N1548" s="672"/>
      <c r="O1548" s="729">
        <f>IF(N1548="",0,N1548*K1548/'9b-Vloeronderhoud'!$F$4)</f>
        <v>0</v>
      </c>
      <c r="P1548" s="672"/>
      <c r="Q1548" s="729" t="e">
        <f>IF(O1548="",0,P1548*L1548/'9b-Vloeronderhoud'!$F$6)</f>
        <v>#DIV/0!</v>
      </c>
      <c r="R1548" s="449">
        <v>1</v>
      </c>
      <c r="S1548" s="672">
        <v>80</v>
      </c>
      <c r="T1548" s="161" t="e">
        <f t="shared" si="126"/>
        <v>#DIV/0!</v>
      </c>
      <c r="U1548" s="162">
        <f>IF(S1548="nio",0,IF(S1548&gt;0,VLOOKUP(G1548,'3-Productie normen'!A:K,VLOOKUP(S1548,'3-Productie normen'!L:N,3,FALSE),FALSE)))</f>
        <v>0</v>
      </c>
      <c r="V1548" s="162">
        <f>VLOOKUP(G1548,'3-Productie normen'!A:K,10,FALSE)</f>
        <v>16013.110036668773</v>
      </c>
      <c r="W1548" s="163">
        <f>VLOOKUP(G1548,'3-Productie normen'!A:K,11,FALSE)</f>
        <v>0</v>
      </c>
      <c r="X1548" s="163"/>
      <c r="Z1548" s="129">
        <f t="shared" si="127"/>
        <v>395.99998474121094</v>
      </c>
    </row>
    <row r="1549" spans="1:26" ht="14.1" customHeight="1">
      <c r="A1549" s="144">
        <v>1587</v>
      </c>
      <c r="B1549" s="485" t="s">
        <v>264</v>
      </c>
      <c r="C1549" s="303" t="s">
        <v>737</v>
      </c>
      <c r="D1549" s="304" t="s">
        <v>98</v>
      </c>
      <c r="E1549" s="694" t="s">
        <v>328</v>
      </c>
      <c r="F1549" s="303" t="s">
        <v>316</v>
      </c>
      <c r="G1549" s="460" t="s">
        <v>881</v>
      </c>
      <c r="H1549" s="303" t="s">
        <v>375</v>
      </c>
      <c r="I1549" s="582" t="str">
        <f>VLOOKUP(H1549,'9a-Typen vloeren'!$A$10:$B$40,2,FALSE)</f>
        <v>n.v.t.</v>
      </c>
      <c r="J1549" s="433">
        <v>0</v>
      </c>
      <c r="K1549" s="433">
        <f t="shared" si="123"/>
        <v>0</v>
      </c>
      <c r="L1549" s="433">
        <f t="shared" si="124"/>
        <v>0</v>
      </c>
      <c r="M1549" s="433">
        <f t="shared" si="125"/>
        <v>0</v>
      </c>
      <c r="N1549" s="672"/>
      <c r="O1549" s="729">
        <f>IF(N1549="",0,N1549*K1549/'9b-Vloeronderhoud'!$F$4)</f>
        <v>0</v>
      </c>
      <c r="P1549" s="672"/>
      <c r="Q1549" s="729" t="e">
        <f>IF(O1549="",0,P1549*L1549/'9b-Vloeronderhoud'!$F$6)</f>
        <v>#DIV/0!</v>
      </c>
      <c r="R1549" s="449">
        <v>1</v>
      </c>
      <c r="S1549" s="672" t="s">
        <v>179</v>
      </c>
      <c r="T1549" s="161">
        <f t="shared" si="126"/>
        <v>0</v>
      </c>
      <c r="U1549" s="162">
        <f>IF(S1549="nio",0,IF(S1549&gt;0,VLOOKUP(G1549,'3-Productie normen'!A:K,VLOOKUP(S1549,'3-Productie normen'!L:N,3,FALSE),FALSE)))</f>
        <v>0</v>
      </c>
      <c r="V1549" s="162">
        <f>VLOOKUP(G1549,'3-Productie normen'!A:K,10,FALSE)</f>
        <v>5262.809993648526</v>
      </c>
      <c r="W1549" s="163">
        <f>VLOOKUP(G1549,'3-Productie normen'!A:K,11,FALSE)</f>
        <v>0</v>
      </c>
      <c r="X1549" s="163"/>
      <c r="Z1549" s="129">
        <f t="shared" si="127"/>
        <v>0</v>
      </c>
    </row>
    <row r="1550" spans="1:26" ht="14.1" customHeight="1">
      <c r="A1550" s="144">
        <v>1588</v>
      </c>
      <c r="B1550" s="485" t="s">
        <v>239</v>
      </c>
      <c r="C1550" s="159" t="s">
        <v>631</v>
      </c>
      <c r="D1550" s="132" t="s">
        <v>98</v>
      </c>
      <c r="E1550" s="702">
        <v>1</v>
      </c>
      <c r="F1550" s="494" t="s">
        <v>604</v>
      </c>
      <c r="G1550" s="460" t="s">
        <v>99</v>
      </c>
      <c r="H1550" s="524" t="s">
        <v>802</v>
      </c>
      <c r="I1550" s="582" t="str">
        <f>VLOOKUP(H1550,'9a-Typen vloeren'!$A$10:$B$40,2,FALSE)</f>
        <v>n.v.t.</v>
      </c>
      <c r="J1550" s="586">
        <v>5.77</v>
      </c>
      <c r="K1550" s="433">
        <f t="shared" si="123"/>
        <v>0</v>
      </c>
      <c r="L1550" s="433">
        <f t="shared" si="124"/>
        <v>0</v>
      </c>
      <c r="M1550" s="433">
        <f t="shared" si="125"/>
        <v>0</v>
      </c>
      <c r="N1550" s="672"/>
      <c r="O1550" s="729">
        <f>IF(N1550="",0,N1550*K1550/'9b-Vloeronderhoud'!$F$4)</f>
        <v>0</v>
      </c>
      <c r="P1550" s="672"/>
      <c r="Q1550" s="729" t="e">
        <f>IF(O1550="",0,P1550*L1550/'9b-Vloeronderhoud'!$F$6)</f>
        <v>#DIV/0!</v>
      </c>
      <c r="R1550" s="449">
        <v>1</v>
      </c>
      <c r="S1550" s="672">
        <v>190</v>
      </c>
      <c r="T1550" s="161" t="e">
        <f t="shared" si="126"/>
        <v>#DIV/0!</v>
      </c>
      <c r="U1550" s="162">
        <f>IF(S1550="nio",0,IF(S1550&gt;0,VLOOKUP(G1550,'3-Productie normen'!A:K,VLOOKUP(S1550,'3-Productie normen'!L:N,3,FALSE),FALSE)))</f>
        <v>0</v>
      </c>
      <c r="V1550" s="162">
        <f>VLOOKUP(G1550,'3-Productie normen'!A:K,10,FALSE)</f>
        <v>726.97999910354622</v>
      </c>
      <c r="W1550" s="163">
        <f>VLOOKUP(G1550,'3-Productie normen'!A:K,11,FALSE)</f>
        <v>0</v>
      </c>
      <c r="X1550" s="163"/>
      <c r="Z1550" s="129">
        <f t="shared" si="127"/>
        <v>1096.3</v>
      </c>
    </row>
    <row r="1551" spans="1:26" ht="14.1" customHeight="1">
      <c r="A1551" s="144">
        <v>1589</v>
      </c>
      <c r="B1551" s="485" t="s">
        <v>239</v>
      </c>
      <c r="C1551" s="159" t="s">
        <v>631</v>
      </c>
      <c r="D1551" s="132" t="s">
        <v>98</v>
      </c>
      <c r="E1551" s="702">
        <v>2</v>
      </c>
      <c r="F1551" s="494" t="s">
        <v>404</v>
      </c>
      <c r="G1551" s="4" t="s">
        <v>286</v>
      </c>
      <c r="H1551" s="524" t="s">
        <v>100</v>
      </c>
      <c r="I1551" s="582" t="str">
        <f>VLOOKUP(H1551,'9a-Typen vloeren'!$A$10:$B$40,2,FALSE)</f>
        <v>Sprayen/ conserveren</v>
      </c>
      <c r="J1551" s="586">
        <v>20.45</v>
      </c>
      <c r="K1551" s="433">
        <f t="shared" si="123"/>
        <v>20.45</v>
      </c>
      <c r="L1551" s="433">
        <f t="shared" si="124"/>
        <v>0</v>
      </c>
      <c r="M1551" s="433">
        <f t="shared" si="125"/>
        <v>0</v>
      </c>
      <c r="N1551" s="672">
        <v>2</v>
      </c>
      <c r="O1551" s="729" t="e">
        <f>IF(N1551="",0,N1551*K1551/'9b-Vloeronderhoud'!$F$4)</f>
        <v>#DIV/0!</v>
      </c>
      <c r="P1551" s="672"/>
      <c r="Q1551" s="729" t="e">
        <f>IF(O1551="",0,P1551*L1551/'9b-Vloeronderhoud'!$F$6)</f>
        <v>#DIV/0!</v>
      </c>
      <c r="R1551" s="449">
        <v>1</v>
      </c>
      <c r="S1551" s="672">
        <v>120</v>
      </c>
      <c r="T1551" s="161" t="e">
        <f t="shared" si="126"/>
        <v>#DIV/0!</v>
      </c>
      <c r="U1551" s="162">
        <f>IF(S1551="nio",0,IF(S1551&gt;0,VLOOKUP(G1551,'3-Productie normen'!A:K,VLOOKUP(S1551,'3-Productie normen'!L:N,3,FALSE),FALSE)))</f>
        <v>0</v>
      </c>
      <c r="V1551" s="162">
        <f>VLOOKUP(G1551,'3-Productie normen'!A:K,10,FALSE)</f>
        <v>6152.9500017547598</v>
      </c>
      <c r="W1551" s="163">
        <f>VLOOKUP(G1551,'3-Productie normen'!A:K,11,FALSE)</f>
        <v>0</v>
      </c>
      <c r="X1551" s="163"/>
      <c r="Z1551" s="129">
        <f t="shared" si="127"/>
        <v>2454</v>
      </c>
    </row>
    <row r="1552" spans="1:26" ht="14.1" customHeight="1">
      <c r="A1552" s="144">
        <v>1590</v>
      </c>
      <c r="B1552" s="485" t="s">
        <v>239</v>
      </c>
      <c r="C1552" s="159" t="s">
        <v>631</v>
      </c>
      <c r="D1552" s="132" t="s">
        <v>98</v>
      </c>
      <c r="E1552" s="702">
        <v>3</v>
      </c>
      <c r="F1552" s="494" t="s">
        <v>605</v>
      </c>
      <c r="G1552" s="533" t="s">
        <v>189</v>
      </c>
      <c r="H1552" s="303" t="s">
        <v>332</v>
      </c>
      <c r="I1552" s="582" t="str">
        <f>VLOOKUP(H1552,'9a-Typen vloeren'!$A$10:$B$40,2,FALSE)</f>
        <v>Sproei/extraheren</v>
      </c>
      <c r="J1552" s="586">
        <v>17.13</v>
      </c>
      <c r="K1552" s="433">
        <f t="shared" si="123"/>
        <v>0</v>
      </c>
      <c r="L1552" s="433">
        <f t="shared" si="124"/>
        <v>0</v>
      </c>
      <c r="M1552" s="433">
        <f t="shared" si="125"/>
        <v>17.13</v>
      </c>
      <c r="N1552" s="672"/>
      <c r="O1552" s="729">
        <f>IF(N1552="",0,N1552*K1552/'9b-Vloeronderhoud'!$F$4)</f>
        <v>0</v>
      </c>
      <c r="P1552" s="672"/>
      <c r="Q1552" s="729" t="e">
        <f>IF(O1552="",0,P1552*L1552/'9b-Vloeronderhoud'!$F$6)</f>
        <v>#DIV/0!</v>
      </c>
      <c r="R1552" s="449">
        <v>1</v>
      </c>
      <c r="S1552" s="672">
        <v>40</v>
      </c>
      <c r="T1552" s="161" t="e">
        <f t="shared" si="126"/>
        <v>#DIV/0!</v>
      </c>
      <c r="U1552" s="162">
        <f>IF(S1552="nio",0,IF(S1552&gt;0,VLOOKUP(G1552,'3-Productie normen'!A:K,VLOOKUP(S1552,'3-Productie normen'!L:N,3,FALSE),FALSE)))</f>
        <v>0</v>
      </c>
      <c r="V1552" s="162">
        <f>VLOOKUP(G1552,'3-Productie normen'!A:K,10,FALSE)</f>
        <v>1494.1700078582762</v>
      </c>
      <c r="W1552" s="163">
        <f>VLOOKUP(G1552,'3-Productie normen'!A:K,11,FALSE)</f>
        <v>0</v>
      </c>
      <c r="X1552" s="163"/>
      <c r="Z1552" s="129">
        <f t="shared" si="127"/>
        <v>685.19999999999993</v>
      </c>
    </row>
    <row r="1553" spans="1:26" ht="14.1" customHeight="1">
      <c r="A1553" s="144">
        <v>1591</v>
      </c>
      <c r="B1553" s="485" t="s">
        <v>239</v>
      </c>
      <c r="C1553" s="159" t="s">
        <v>631</v>
      </c>
      <c r="D1553" s="132" t="s">
        <v>98</v>
      </c>
      <c r="E1553" s="702">
        <v>4</v>
      </c>
      <c r="F1553" s="160" t="s">
        <v>606</v>
      </c>
      <c r="G1553" s="460" t="s">
        <v>881</v>
      </c>
      <c r="H1553" s="524" t="s">
        <v>100</v>
      </c>
      <c r="I1553" s="582" t="str">
        <f>VLOOKUP(H1553,'9a-Typen vloeren'!$A$10:$B$40,2,FALSE)</f>
        <v>Sprayen/ conserveren</v>
      </c>
      <c r="J1553" s="586">
        <v>4.32</v>
      </c>
      <c r="K1553" s="433">
        <f t="shared" si="123"/>
        <v>0</v>
      </c>
      <c r="L1553" s="433">
        <f t="shared" si="124"/>
        <v>0</v>
      </c>
      <c r="M1553" s="433">
        <f t="shared" si="125"/>
        <v>0</v>
      </c>
      <c r="N1553" s="672"/>
      <c r="O1553" s="729">
        <f>IF(N1553="",0,N1553*K1553/'9b-Vloeronderhoud'!$F$4)</f>
        <v>0</v>
      </c>
      <c r="P1553" s="672"/>
      <c r="Q1553" s="729" t="e">
        <f>IF(O1553="",0,P1553*L1553/'9b-Vloeronderhoud'!$F$6)</f>
        <v>#DIV/0!</v>
      </c>
      <c r="R1553" s="449">
        <v>1</v>
      </c>
      <c r="S1553" s="672" t="s">
        <v>179</v>
      </c>
      <c r="T1553" s="161">
        <f t="shared" si="126"/>
        <v>0</v>
      </c>
      <c r="U1553" s="162">
        <f>IF(S1553="nio",0,IF(S1553&gt;0,VLOOKUP(G1553,'3-Productie normen'!A:K,VLOOKUP(S1553,'3-Productie normen'!L:N,3,FALSE),FALSE)))</f>
        <v>0</v>
      </c>
      <c r="V1553" s="162">
        <f>VLOOKUP(G1553,'3-Productie normen'!A:K,10,FALSE)</f>
        <v>5262.809993648526</v>
      </c>
      <c r="W1553" s="163">
        <f>VLOOKUP(G1553,'3-Productie normen'!A:K,11,FALSE)</f>
        <v>0</v>
      </c>
      <c r="X1553" s="163"/>
      <c r="Z1553" s="129">
        <f t="shared" si="127"/>
        <v>0</v>
      </c>
    </row>
    <row r="1554" spans="1:26" ht="14.1" customHeight="1">
      <c r="A1554" s="144">
        <v>1592</v>
      </c>
      <c r="B1554" s="485" t="s">
        <v>239</v>
      </c>
      <c r="C1554" s="159" t="s">
        <v>631</v>
      </c>
      <c r="D1554" s="132" t="s">
        <v>98</v>
      </c>
      <c r="E1554" s="702">
        <v>5</v>
      </c>
      <c r="F1554" s="160" t="s">
        <v>543</v>
      </c>
      <c r="G1554" s="460" t="s">
        <v>881</v>
      </c>
      <c r="H1554" s="524" t="s">
        <v>100</v>
      </c>
      <c r="I1554" s="582" t="str">
        <f>VLOOKUP(H1554,'9a-Typen vloeren'!$A$10:$B$40,2,FALSE)</f>
        <v>Sprayen/ conserveren</v>
      </c>
      <c r="J1554" s="586">
        <v>1.23</v>
      </c>
      <c r="K1554" s="433">
        <f t="shared" ref="K1554:K1617" si="128">IF(G1554="niet in onderhoud",0,IF(I1554="sprayen/ conserveren",J1554,0))</f>
        <v>0</v>
      </c>
      <c r="L1554" s="433">
        <f t="shared" ref="L1554:L1617" si="129">IF(G1554="niet in onderhoud",0,IF(I1554="schrobben",J1554,0))</f>
        <v>0</v>
      </c>
      <c r="M1554" s="433">
        <f t="shared" ref="M1554:M1617" si="130">IF(G1554="niet in onderhoud",0,IF(I1554="Sproei/extraheren",J1554,0))</f>
        <v>0</v>
      </c>
      <c r="N1554" s="672"/>
      <c r="O1554" s="729">
        <f>IF(N1554="",0,N1554*K1554/'9b-Vloeronderhoud'!$F$4)</f>
        <v>0</v>
      </c>
      <c r="P1554" s="672"/>
      <c r="Q1554" s="729" t="e">
        <f>IF(O1554="",0,P1554*L1554/'9b-Vloeronderhoud'!$F$6)</f>
        <v>#DIV/0!</v>
      </c>
      <c r="R1554" s="449">
        <v>1</v>
      </c>
      <c r="S1554" s="672" t="s">
        <v>179</v>
      </c>
      <c r="T1554" s="161">
        <f t="shared" si="126"/>
        <v>0</v>
      </c>
      <c r="U1554" s="162">
        <f>IF(S1554="nio",0,IF(S1554&gt;0,VLOOKUP(G1554,'3-Productie normen'!A:K,VLOOKUP(S1554,'3-Productie normen'!L:N,3,FALSE),FALSE)))</f>
        <v>0</v>
      </c>
      <c r="V1554" s="162">
        <f>VLOOKUP(G1554,'3-Productie normen'!A:K,10,FALSE)</f>
        <v>5262.809993648526</v>
      </c>
      <c r="W1554" s="163">
        <f>VLOOKUP(G1554,'3-Productie normen'!A:K,11,FALSE)</f>
        <v>0</v>
      </c>
      <c r="X1554" s="163"/>
      <c r="Z1554" s="129">
        <f t="shared" si="127"/>
        <v>0</v>
      </c>
    </row>
    <row r="1555" spans="1:26" ht="14.1" customHeight="1">
      <c r="A1555" s="144">
        <v>1593</v>
      </c>
      <c r="B1555" s="485" t="s">
        <v>239</v>
      </c>
      <c r="C1555" s="159" t="s">
        <v>631</v>
      </c>
      <c r="D1555" s="132" t="s">
        <v>98</v>
      </c>
      <c r="E1555" s="702">
        <v>6</v>
      </c>
      <c r="F1555" s="494" t="s">
        <v>267</v>
      </c>
      <c r="G1555" s="460" t="s">
        <v>18</v>
      </c>
      <c r="H1555" s="303" t="s">
        <v>955</v>
      </c>
      <c r="I1555" s="582" t="str">
        <f>VLOOKUP(H1555,'9a-Typen vloeren'!$A$10:$B$40,2,FALSE)</f>
        <v>zie kwaliteitsontwerp</v>
      </c>
      <c r="J1555" s="586">
        <v>1.35</v>
      </c>
      <c r="K1555" s="433">
        <f t="shared" si="128"/>
        <v>0</v>
      </c>
      <c r="L1555" s="433">
        <f t="shared" si="129"/>
        <v>0</v>
      </c>
      <c r="M1555" s="433">
        <f t="shared" si="130"/>
        <v>0</v>
      </c>
      <c r="N1555" s="672"/>
      <c r="O1555" s="729">
        <f>IF(N1555="",0,N1555*K1555/'9b-Vloeronderhoud'!$F$4)</f>
        <v>0</v>
      </c>
      <c r="P1555" s="672"/>
      <c r="Q1555" s="729" t="e">
        <f>IF(O1555="",0,P1555*L1555/'9b-Vloeronderhoud'!$F$6)</f>
        <v>#DIV/0!</v>
      </c>
      <c r="R1555" s="449">
        <v>1</v>
      </c>
      <c r="S1555" s="672">
        <v>190</v>
      </c>
      <c r="T1555" s="161" t="e">
        <f t="shared" si="126"/>
        <v>#DIV/0!</v>
      </c>
      <c r="U1555" s="162">
        <f>IF(S1555="nio",0,IF(S1555&gt;0,VLOOKUP(G1555,'3-Productie normen'!A:K,VLOOKUP(S1555,'3-Productie normen'!L:N,3,FALSE),FALSE)))</f>
        <v>0</v>
      </c>
      <c r="V1555" s="162">
        <f>VLOOKUP(G1555,'3-Productie normen'!A:K,10,FALSE)</f>
        <v>1859.5880019121171</v>
      </c>
      <c r="W1555" s="163">
        <f>VLOOKUP(G1555,'3-Productie normen'!A:K,11,FALSE)</f>
        <v>0</v>
      </c>
      <c r="X1555" s="163"/>
      <c r="Z1555" s="129">
        <f t="shared" si="127"/>
        <v>256.5</v>
      </c>
    </row>
    <row r="1556" spans="1:26" ht="14.1" customHeight="1">
      <c r="A1556" s="144">
        <v>1594</v>
      </c>
      <c r="B1556" s="485" t="s">
        <v>239</v>
      </c>
      <c r="C1556" s="159" t="s">
        <v>631</v>
      </c>
      <c r="D1556" s="132" t="s">
        <v>98</v>
      </c>
      <c r="E1556" s="702">
        <v>7</v>
      </c>
      <c r="F1556" s="160" t="s">
        <v>607</v>
      </c>
      <c r="G1556" s="303" t="s">
        <v>190</v>
      </c>
      <c r="H1556" s="524" t="s">
        <v>100</v>
      </c>
      <c r="I1556" s="582" t="str">
        <f>VLOOKUP(H1556,'9a-Typen vloeren'!$A$10:$B$40,2,FALSE)</f>
        <v>Sprayen/ conserveren</v>
      </c>
      <c r="J1556" s="586">
        <v>7.39</v>
      </c>
      <c r="K1556" s="433">
        <f t="shared" si="128"/>
        <v>7.39</v>
      </c>
      <c r="L1556" s="433">
        <f t="shared" si="129"/>
        <v>0</v>
      </c>
      <c r="M1556" s="433">
        <f t="shared" si="130"/>
        <v>0</v>
      </c>
      <c r="N1556" s="672">
        <v>2</v>
      </c>
      <c r="O1556" s="729" t="e">
        <f>IF(N1556="",0,N1556*K1556/'9b-Vloeronderhoud'!$F$4)</f>
        <v>#DIV/0!</v>
      </c>
      <c r="P1556" s="672"/>
      <c r="Q1556" s="729" t="e">
        <f>IF(O1556="",0,P1556*L1556/'9b-Vloeronderhoud'!$F$6)</f>
        <v>#DIV/0!</v>
      </c>
      <c r="R1556" s="449">
        <v>1</v>
      </c>
      <c r="S1556" s="672">
        <v>40</v>
      </c>
      <c r="T1556" s="161" t="e">
        <f t="shared" si="126"/>
        <v>#DIV/0!</v>
      </c>
      <c r="U1556" s="162">
        <f>IF(S1556="nio",0,IF(S1556&gt;0,VLOOKUP(G1556,'3-Productie normen'!A:K,VLOOKUP(S1556,'3-Productie normen'!L:N,3,FALSE),FALSE)))</f>
        <v>0</v>
      </c>
      <c r="V1556" s="162">
        <f>VLOOKUP(G1556,'3-Productie normen'!A:K,10,FALSE)</f>
        <v>281.65000052452086</v>
      </c>
      <c r="W1556" s="163">
        <f>VLOOKUP(G1556,'3-Productie normen'!A:K,11,FALSE)</f>
        <v>0</v>
      </c>
      <c r="X1556" s="163"/>
      <c r="Z1556" s="129">
        <f t="shared" si="127"/>
        <v>295.59999999999997</v>
      </c>
    </row>
    <row r="1557" spans="1:26" ht="14.1" customHeight="1">
      <c r="A1557" s="144">
        <v>1595</v>
      </c>
      <c r="B1557" s="485" t="s">
        <v>239</v>
      </c>
      <c r="C1557" s="159" t="s">
        <v>631</v>
      </c>
      <c r="D1557" s="132" t="s">
        <v>98</v>
      </c>
      <c r="E1557" s="702">
        <v>8</v>
      </c>
      <c r="F1557" s="160" t="s">
        <v>606</v>
      </c>
      <c r="G1557" s="460" t="s">
        <v>881</v>
      </c>
      <c r="H1557" s="524" t="s">
        <v>100</v>
      </c>
      <c r="I1557" s="582" t="str">
        <f>VLOOKUP(H1557,'9a-Typen vloeren'!$A$10:$B$40,2,FALSE)</f>
        <v>Sprayen/ conserveren</v>
      </c>
      <c r="J1557" s="586">
        <v>2.0499999999999998</v>
      </c>
      <c r="K1557" s="433">
        <f t="shared" si="128"/>
        <v>0</v>
      </c>
      <c r="L1557" s="433">
        <f t="shared" si="129"/>
        <v>0</v>
      </c>
      <c r="M1557" s="433">
        <f t="shared" si="130"/>
        <v>0</v>
      </c>
      <c r="N1557" s="672"/>
      <c r="O1557" s="729">
        <f>IF(N1557="",0,N1557*K1557/'9b-Vloeronderhoud'!$F$4)</f>
        <v>0</v>
      </c>
      <c r="P1557" s="672"/>
      <c r="Q1557" s="729" t="e">
        <f>IF(O1557="",0,P1557*L1557/'9b-Vloeronderhoud'!$F$6)</f>
        <v>#DIV/0!</v>
      </c>
      <c r="R1557" s="449">
        <v>1</v>
      </c>
      <c r="S1557" s="672" t="s">
        <v>179</v>
      </c>
      <c r="T1557" s="161">
        <f t="shared" si="126"/>
        <v>0</v>
      </c>
      <c r="U1557" s="162">
        <f>IF(S1557="nio",0,IF(S1557&gt;0,VLOOKUP(G1557,'3-Productie normen'!A:K,VLOOKUP(S1557,'3-Productie normen'!L:N,3,FALSE),FALSE)))</f>
        <v>0</v>
      </c>
      <c r="V1557" s="162">
        <f>VLOOKUP(G1557,'3-Productie normen'!A:K,10,FALSE)</f>
        <v>5262.809993648526</v>
      </c>
      <c r="W1557" s="163">
        <f>VLOOKUP(G1557,'3-Productie normen'!A:K,11,FALSE)</f>
        <v>0</v>
      </c>
      <c r="X1557" s="163"/>
      <c r="Z1557" s="129">
        <f t="shared" si="127"/>
        <v>0</v>
      </c>
    </row>
    <row r="1558" spans="1:26" ht="14.1" customHeight="1">
      <c r="A1558" s="144">
        <v>1596</v>
      </c>
      <c r="B1558" s="485" t="s">
        <v>239</v>
      </c>
      <c r="C1558" s="159" t="s">
        <v>631</v>
      </c>
      <c r="D1558" s="132" t="s">
        <v>98</v>
      </c>
      <c r="E1558" s="702">
        <v>9</v>
      </c>
      <c r="F1558" s="494" t="s">
        <v>608</v>
      </c>
      <c r="G1558" s="460" t="s">
        <v>862</v>
      </c>
      <c r="H1558" s="524" t="s">
        <v>100</v>
      </c>
      <c r="I1558" s="582" t="str">
        <f>VLOOKUP(H1558,'9a-Typen vloeren'!$A$10:$B$40,2,FALSE)</f>
        <v>Sprayen/ conserveren</v>
      </c>
      <c r="J1558" s="586">
        <v>47.48</v>
      </c>
      <c r="K1558" s="433">
        <f t="shared" si="128"/>
        <v>47.48</v>
      </c>
      <c r="L1558" s="433">
        <f t="shared" si="129"/>
        <v>0</v>
      </c>
      <c r="M1558" s="433">
        <f t="shared" si="130"/>
        <v>0</v>
      </c>
      <c r="N1558" s="672">
        <v>2</v>
      </c>
      <c r="O1558" s="729" t="e">
        <f>IF(N1558="",0,N1558*K1558/'9b-Vloeronderhoud'!$F$4)</f>
        <v>#DIV/0!</v>
      </c>
      <c r="P1558" s="672"/>
      <c r="Q1558" s="729" t="e">
        <f>IF(O1558="",0,P1558*L1558/'9b-Vloeronderhoud'!$F$6)</f>
        <v>#DIV/0!</v>
      </c>
      <c r="R1558" s="449">
        <v>1</v>
      </c>
      <c r="S1558" s="672">
        <v>120</v>
      </c>
      <c r="T1558" s="161" t="e">
        <f t="shared" si="126"/>
        <v>#DIV/0!</v>
      </c>
      <c r="U1558" s="162">
        <f>IF(S1558="nio",0,IF(S1558&gt;0,VLOOKUP(G1558,'3-Productie normen'!A:K,VLOOKUP(S1558,'3-Productie normen'!L:N,3,FALSE),FALSE)))</f>
        <v>0</v>
      </c>
      <c r="V1558" s="162">
        <f>VLOOKUP(G1558,'3-Productie normen'!A:K,10,FALSE)</f>
        <v>4374.9900215911857</v>
      </c>
      <c r="W1558" s="163">
        <f>VLOOKUP(G1558,'3-Productie normen'!A:K,11,FALSE)</f>
        <v>0</v>
      </c>
      <c r="X1558" s="163"/>
      <c r="Z1558" s="129">
        <f t="shared" si="127"/>
        <v>5697.5999999999995</v>
      </c>
    </row>
    <row r="1559" spans="1:26" ht="14.1" customHeight="1">
      <c r="A1559" s="144">
        <v>1597</v>
      </c>
      <c r="B1559" s="485" t="s">
        <v>239</v>
      </c>
      <c r="C1559" s="159" t="s">
        <v>631</v>
      </c>
      <c r="D1559" s="132" t="s">
        <v>98</v>
      </c>
      <c r="E1559" s="702">
        <v>10</v>
      </c>
      <c r="F1559" s="160" t="s">
        <v>347</v>
      </c>
      <c r="G1559" s="502" t="s">
        <v>347</v>
      </c>
      <c r="H1559" s="524" t="s">
        <v>376</v>
      </c>
      <c r="I1559" s="582" t="str">
        <f>VLOOKUP(H1559,'9a-Typen vloeren'!$A$10:$B$40,2,FALSE)</f>
        <v>Schrobben</v>
      </c>
      <c r="J1559" s="586">
        <v>85.08</v>
      </c>
      <c r="K1559" s="433">
        <f t="shared" si="128"/>
        <v>0</v>
      </c>
      <c r="L1559" s="433">
        <f t="shared" si="129"/>
        <v>85.08</v>
      </c>
      <c r="M1559" s="433">
        <f t="shared" si="130"/>
        <v>0</v>
      </c>
      <c r="N1559" s="672"/>
      <c r="O1559" s="729">
        <f>IF(N1559="",0,N1559*K1559/'9b-Vloeronderhoud'!$F$4)</f>
        <v>0</v>
      </c>
      <c r="P1559" s="672">
        <v>3</v>
      </c>
      <c r="Q1559" s="729" t="e">
        <f>IF(O1559="",0,P1559*L1559/'9b-Vloeronderhoud'!$F$6)</f>
        <v>#DIV/0!</v>
      </c>
      <c r="R1559" s="449">
        <v>1</v>
      </c>
      <c r="S1559" s="672">
        <v>44</v>
      </c>
      <c r="T1559" s="161" t="e">
        <f t="shared" si="126"/>
        <v>#DIV/0!</v>
      </c>
      <c r="U1559" s="162">
        <f>IF(S1559="nio",0,IF(S1559&gt;0,VLOOKUP(G1559,'3-Productie normen'!A:K,VLOOKUP(S1559,'3-Productie normen'!L:N,3,FALSE),FALSE)))</f>
        <v>0</v>
      </c>
      <c r="V1559" s="162">
        <f>VLOOKUP(G1559,'3-Productie normen'!A:K,10,FALSE)</f>
        <v>1134.6299961853026</v>
      </c>
      <c r="W1559" s="163">
        <f>VLOOKUP(G1559,'3-Productie normen'!A:K,11,FALSE)</f>
        <v>0</v>
      </c>
      <c r="X1559" s="163"/>
      <c r="Z1559" s="129">
        <f t="shared" si="127"/>
        <v>3743.52</v>
      </c>
    </row>
    <row r="1560" spans="1:26" ht="14.1" customHeight="1">
      <c r="A1560" s="144">
        <v>1598</v>
      </c>
      <c r="B1560" s="485" t="s">
        <v>239</v>
      </c>
      <c r="C1560" s="159" t="s">
        <v>631</v>
      </c>
      <c r="D1560" s="132" t="s">
        <v>98</v>
      </c>
      <c r="E1560" s="702">
        <v>11</v>
      </c>
      <c r="F1560" s="160" t="s">
        <v>348</v>
      </c>
      <c r="G1560" s="460" t="s">
        <v>881</v>
      </c>
      <c r="H1560" s="524" t="s">
        <v>376</v>
      </c>
      <c r="I1560" s="582" t="str">
        <f>VLOOKUP(H1560,'9a-Typen vloeren'!$A$10:$B$40,2,FALSE)</f>
        <v>Schrobben</v>
      </c>
      <c r="J1560" s="586">
        <v>6.95</v>
      </c>
      <c r="K1560" s="433">
        <f t="shared" si="128"/>
        <v>0</v>
      </c>
      <c r="L1560" s="433">
        <f t="shared" si="129"/>
        <v>0</v>
      </c>
      <c r="M1560" s="433">
        <f t="shared" si="130"/>
        <v>0</v>
      </c>
      <c r="N1560" s="672"/>
      <c r="O1560" s="729">
        <f>IF(N1560="",0,N1560*K1560/'9b-Vloeronderhoud'!$F$4)</f>
        <v>0</v>
      </c>
      <c r="P1560" s="672"/>
      <c r="Q1560" s="729" t="e">
        <f>IF(O1560="",0,P1560*L1560/'9b-Vloeronderhoud'!$F$6)</f>
        <v>#DIV/0!</v>
      </c>
      <c r="R1560" s="449">
        <v>1</v>
      </c>
      <c r="S1560" s="672" t="s">
        <v>179</v>
      </c>
      <c r="T1560" s="161">
        <f t="shared" si="126"/>
        <v>0</v>
      </c>
      <c r="U1560" s="162">
        <f>IF(S1560="nio",0,IF(S1560&gt;0,VLOOKUP(G1560,'3-Productie normen'!A:K,VLOOKUP(S1560,'3-Productie normen'!L:N,3,FALSE),FALSE)))</f>
        <v>0</v>
      </c>
      <c r="V1560" s="162">
        <f>VLOOKUP(G1560,'3-Productie normen'!A:K,10,FALSE)</f>
        <v>5262.809993648526</v>
      </c>
      <c r="W1560" s="163">
        <f>VLOOKUP(G1560,'3-Productie normen'!A:K,11,FALSE)</f>
        <v>0</v>
      </c>
      <c r="X1560" s="163"/>
      <c r="Z1560" s="129">
        <f t="shared" si="127"/>
        <v>0</v>
      </c>
    </row>
    <row r="1561" spans="1:26" ht="14.1" customHeight="1">
      <c r="A1561" s="144">
        <v>1599</v>
      </c>
      <c r="B1561" s="485" t="s">
        <v>239</v>
      </c>
      <c r="C1561" s="159" t="s">
        <v>631</v>
      </c>
      <c r="D1561" s="132" t="s">
        <v>98</v>
      </c>
      <c r="E1561" s="702">
        <v>12</v>
      </c>
      <c r="F1561" s="494" t="s">
        <v>350</v>
      </c>
      <c r="G1561" s="303" t="s">
        <v>299</v>
      </c>
      <c r="H1561" s="524" t="s">
        <v>100</v>
      </c>
      <c r="I1561" s="582" t="str">
        <f>VLOOKUP(H1561,'9a-Typen vloeren'!$A$10:$B$40,2,FALSE)</f>
        <v>Sprayen/ conserveren</v>
      </c>
      <c r="J1561" s="586">
        <v>52.91</v>
      </c>
      <c r="K1561" s="433">
        <f t="shared" si="128"/>
        <v>52.91</v>
      </c>
      <c r="L1561" s="433">
        <f t="shared" si="129"/>
        <v>0</v>
      </c>
      <c r="M1561" s="433">
        <f t="shared" si="130"/>
        <v>0</v>
      </c>
      <c r="N1561" s="672"/>
      <c r="O1561" s="729">
        <f>IF(N1561="",0,N1561*K1561/'9b-Vloeronderhoud'!$F$4)</f>
        <v>0</v>
      </c>
      <c r="P1561" s="672"/>
      <c r="Q1561" s="729" t="e">
        <f>IF(O1561="",0,P1561*L1561/'9b-Vloeronderhoud'!$F$6)</f>
        <v>#DIV/0!</v>
      </c>
      <c r="R1561" s="449">
        <v>1</v>
      </c>
      <c r="S1561" s="672">
        <v>40</v>
      </c>
      <c r="T1561" s="161" t="e">
        <f t="shared" si="126"/>
        <v>#DIV/0!</v>
      </c>
      <c r="U1561" s="162">
        <f>IF(S1561="nio",0,IF(S1561&gt;0,VLOOKUP(G1561,'3-Productie normen'!A:K,VLOOKUP(S1561,'3-Productie normen'!L:N,3,FALSE),FALSE)))</f>
        <v>0</v>
      </c>
      <c r="V1561" s="162">
        <f>VLOOKUP(G1561,'3-Productie normen'!A:K,10,FALSE)</f>
        <v>1107.9100014114381</v>
      </c>
      <c r="W1561" s="163">
        <f>VLOOKUP(G1561,'3-Productie normen'!A:K,11,FALSE)</f>
        <v>0</v>
      </c>
      <c r="X1561" s="163"/>
      <c r="Z1561" s="129">
        <f t="shared" si="127"/>
        <v>2116.3999999999996</v>
      </c>
    </row>
    <row r="1562" spans="1:26" ht="14.1" customHeight="1">
      <c r="A1562" s="144">
        <v>1600</v>
      </c>
      <c r="B1562" s="485" t="s">
        <v>239</v>
      </c>
      <c r="C1562" s="159" t="s">
        <v>631</v>
      </c>
      <c r="D1562" s="132" t="s">
        <v>98</v>
      </c>
      <c r="E1562" s="702">
        <v>13</v>
      </c>
      <c r="F1562" s="160" t="s">
        <v>559</v>
      </c>
      <c r="G1562" s="460" t="s">
        <v>881</v>
      </c>
      <c r="H1562" s="524" t="s">
        <v>100</v>
      </c>
      <c r="I1562" s="582" t="str">
        <f>VLOOKUP(H1562,'9a-Typen vloeren'!$A$10:$B$40,2,FALSE)</f>
        <v>Sprayen/ conserveren</v>
      </c>
      <c r="J1562" s="586">
        <v>0.85</v>
      </c>
      <c r="K1562" s="433">
        <f t="shared" si="128"/>
        <v>0</v>
      </c>
      <c r="L1562" s="433">
        <f t="shared" si="129"/>
        <v>0</v>
      </c>
      <c r="M1562" s="433">
        <f t="shared" si="130"/>
        <v>0</v>
      </c>
      <c r="N1562" s="672"/>
      <c r="O1562" s="729">
        <f>IF(N1562="",0,N1562*K1562/'9b-Vloeronderhoud'!$F$4)</f>
        <v>0</v>
      </c>
      <c r="P1562" s="672"/>
      <c r="Q1562" s="729" t="e">
        <f>IF(O1562="",0,P1562*L1562/'9b-Vloeronderhoud'!$F$6)</f>
        <v>#DIV/0!</v>
      </c>
      <c r="R1562" s="449">
        <v>1</v>
      </c>
      <c r="S1562" s="672" t="s">
        <v>179</v>
      </c>
      <c r="T1562" s="161">
        <f t="shared" si="126"/>
        <v>0</v>
      </c>
      <c r="U1562" s="162">
        <f>IF(S1562="nio",0,IF(S1562&gt;0,VLOOKUP(G1562,'3-Productie normen'!A:K,VLOOKUP(S1562,'3-Productie normen'!L:N,3,FALSE),FALSE)))</f>
        <v>0</v>
      </c>
      <c r="V1562" s="162">
        <f>VLOOKUP(G1562,'3-Productie normen'!A:K,10,FALSE)</f>
        <v>5262.809993648526</v>
      </c>
      <c r="W1562" s="163">
        <f>VLOOKUP(G1562,'3-Productie normen'!A:K,11,FALSE)</f>
        <v>0</v>
      </c>
      <c r="X1562" s="163"/>
      <c r="Z1562" s="129">
        <f t="shared" si="127"/>
        <v>0</v>
      </c>
    </row>
    <row r="1563" spans="1:26" ht="14.1" customHeight="1">
      <c r="A1563" s="144">
        <v>1601</v>
      </c>
      <c r="B1563" s="485" t="s">
        <v>239</v>
      </c>
      <c r="C1563" s="159" t="s">
        <v>631</v>
      </c>
      <c r="D1563" s="132" t="s">
        <v>98</v>
      </c>
      <c r="E1563" s="702">
        <v>14</v>
      </c>
      <c r="F1563" s="160" t="s">
        <v>609</v>
      </c>
      <c r="G1563" s="546" t="s">
        <v>191</v>
      </c>
      <c r="H1563" s="303" t="s">
        <v>332</v>
      </c>
      <c r="I1563" s="582" t="str">
        <f>VLOOKUP(H1563,'9a-Typen vloeren'!$A$10:$B$40,2,FALSE)</f>
        <v>Sproei/extraheren</v>
      </c>
      <c r="J1563" s="586">
        <v>26.17</v>
      </c>
      <c r="K1563" s="433">
        <f t="shared" si="128"/>
        <v>0</v>
      </c>
      <c r="L1563" s="433">
        <f t="shared" si="129"/>
        <v>0</v>
      </c>
      <c r="M1563" s="433">
        <f t="shared" si="130"/>
        <v>26.17</v>
      </c>
      <c r="N1563" s="672"/>
      <c r="O1563" s="729">
        <f>IF(N1563="",0,N1563*K1563/'9b-Vloeronderhoud'!$F$4)</f>
        <v>0</v>
      </c>
      <c r="P1563" s="672"/>
      <c r="Q1563" s="729" t="e">
        <f>IF(O1563="",0,P1563*L1563/'9b-Vloeronderhoud'!$F$6)</f>
        <v>#DIV/0!</v>
      </c>
      <c r="R1563" s="449">
        <v>1</v>
      </c>
      <c r="S1563" s="672">
        <v>40</v>
      </c>
      <c r="T1563" s="161" t="e">
        <f t="shared" si="126"/>
        <v>#DIV/0!</v>
      </c>
      <c r="U1563" s="162">
        <f>IF(S1563="nio",0,IF(S1563&gt;0,VLOOKUP(G1563,'3-Productie normen'!A:K,VLOOKUP(S1563,'3-Productie normen'!L:N,3,FALSE),FALSE)))</f>
        <v>0</v>
      </c>
      <c r="V1563" s="162">
        <f>VLOOKUP(G1563,'3-Productie normen'!A:K,10,FALSE)</f>
        <v>314.55999933242794</v>
      </c>
      <c r="W1563" s="163">
        <f>VLOOKUP(G1563,'3-Productie normen'!A:K,11,FALSE)</f>
        <v>0</v>
      </c>
      <c r="X1563" s="163"/>
      <c r="Z1563" s="129">
        <f t="shared" si="127"/>
        <v>1046.8000000000002</v>
      </c>
    </row>
    <row r="1564" spans="1:26" ht="14.1" customHeight="1">
      <c r="A1564" s="144">
        <v>1602</v>
      </c>
      <c r="B1564" s="485" t="s">
        <v>239</v>
      </c>
      <c r="C1564" s="159" t="s">
        <v>631</v>
      </c>
      <c r="D1564" s="132" t="s">
        <v>98</v>
      </c>
      <c r="E1564" s="702">
        <v>15</v>
      </c>
      <c r="F1564" s="303" t="s">
        <v>400</v>
      </c>
      <c r="G1564" s="122" t="s">
        <v>189</v>
      </c>
      <c r="H1564" s="303" t="s">
        <v>332</v>
      </c>
      <c r="I1564" s="582" t="str">
        <f>VLOOKUP(H1564,'9a-Typen vloeren'!$A$10:$B$40,2,FALSE)</f>
        <v>Sproei/extraheren</v>
      </c>
      <c r="J1564" s="586">
        <v>26.17</v>
      </c>
      <c r="K1564" s="433">
        <f t="shared" si="128"/>
        <v>0</v>
      </c>
      <c r="L1564" s="433">
        <f t="shared" si="129"/>
        <v>0</v>
      </c>
      <c r="M1564" s="433">
        <f t="shared" si="130"/>
        <v>26.17</v>
      </c>
      <c r="N1564" s="672"/>
      <c r="O1564" s="729">
        <f>IF(N1564="",0,N1564*K1564/'9b-Vloeronderhoud'!$F$4)</f>
        <v>0</v>
      </c>
      <c r="P1564" s="672"/>
      <c r="Q1564" s="729" t="e">
        <f>IF(O1564="",0,P1564*L1564/'9b-Vloeronderhoud'!$F$6)</f>
        <v>#DIV/0!</v>
      </c>
      <c r="R1564" s="449">
        <v>1</v>
      </c>
      <c r="S1564" s="672">
        <v>40</v>
      </c>
      <c r="T1564" s="161" t="e">
        <f t="shared" si="126"/>
        <v>#DIV/0!</v>
      </c>
      <c r="U1564" s="162">
        <f>IF(S1564="nio",0,IF(S1564&gt;0,VLOOKUP(G1564,'3-Productie normen'!A:K,VLOOKUP(S1564,'3-Productie normen'!L:N,3,FALSE),FALSE)))</f>
        <v>0</v>
      </c>
      <c r="V1564" s="162">
        <f>VLOOKUP(G1564,'3-Productie normen'!A:K,10,FALSE)</f>
        <v>1494.1700078582762</v>
      </c>
      <c r="W1564" s="163">
        <f>VLOOKUP(G1564,'3-Productie normen'!A:K,11,FALSE)</f>
        <v>0</v>
      </c>
      <c r="X1564" s="163"/>
      <c r="Z1564" s="129">
        <f t="shared" si="127"/>
        <v>1046.8000000000002</v>
      </c>
    </row>
    <row r="1565" spans="1:26" ht="14.1" customHeight="1">
      <c r="A1565" s="144">
        <v>1603</v>
      </c>
      <c r="B1565" s="485" t="s">
        <v>239</v>
      </c>
      <c r="C1565" s="159" t="s">
        <v>631</v>
      </c>
      <c r="D1565" s="132" t="s">
        <v>98</v>
      </c>
      <c r="E1565" s="702">
        <v>16</v>
      </c>
      <c r="F1565" s="160" t="s">
        <v>610</v>
      </c>
      <c r="G1565" s="460" t="s">
        <v>881</v>
      </c>
      <c r="H1565" s="524" t="s">
        <v>100</v>
      </c>
      <c r="I1565" s="582" t="str">
        <f>VLOOKUP(H1565,'9a-Typen vloeren'!$A$10:$B$40,2,FALSE)</f>
        <v>Sprayen/ conserveren</v>
      </c>
      <c r="J1565" s="586">
        <v>0.85</v>
      </c>
      <c r="K1565" s="433">
        <f t="shared" si="128"/>
        <v>0</v>
      </c>
      <c r="L1565" s="433">
        <f t="shared" si="129"/>
        <v>0</v>
      </c>
      <c r="M1565" s="433">
        <f t="shared" si="130"/>
        <v>0</v>
      </c>
      <c r="N1565" s="672"/>
      <c r="O1565" s="729">
        <f>IF(N1565="",0,N1565*K1565/'9b-Vloeronderhoud'!$F$4)</f>
        <v>0</v>
      </c>
      <c r="P1565" s="672"/>
      <c r="Q1565" s="729" t="e">
        <f>IF(O1565="",0,P1565*L1565/'9b-Vloeronderhoud'!$F$6)</f>
        <v>#DIV/0!</v>
      </c>
      <c r="R1565" s="449">
        <v>1</v>
      </c>
      <c r="S1565" s="672" t="s">
        <v>179</v>
      </c>
      <c r="T1565" s="161">
        <f t="shared" si="126"/>
        <v>0</v>
      </c>
      <c r="U1565" s="162">
        <f>IF(S1565="nio",0,IF(S1565&gt;0,VLOOKUP(G1565,'3-Productie normen'!A:K,VLOOKUP(S1565,'3-Productie normen'!L:N,3,FALSE),FALSE)))</f>
        <v>0</v>
      </c>
      <c r="V1565" s="162">
        <f>VLOOKUP(G1565,'3-Productie normen'!A:K,10,FALSE)</f>
        <v>5262.809993648526</v>
      </c>
      <c r="W1565" s="163">
        <f>VLOOKUP(G1565,'3-Productie normen'!A:K,11,FALSE)</f>
        <v>0</v>
      </c>
      <c r="X1565" s="163"/>
      <c r="Z1565" s="129">
        <f t="shared" si="127"/>
        <v>0</v>
      </c>
    </row>
    <row r="1566" spans="1:26" ht="14.1" customHeight="1">
      <c r="A1566" s="144">
        <v>1604</v>
      </c>
      <c r="B1566" s="485" t="s">
        <v>239</v>
      </c>
      <c r="C1566" s="159" t="s">
        <v>631</v>
      </c>
      <c r="D1566" s="132" t="s">
        <v>98</v>
      </c>
      <c r="E1566" s="702">
        <v>17</v>
      </c>
      <c r="F1566" s="160" t="s">
        <v>283</v>
      </c>
      <c r="G1566" s="122" t="s">
        <v>286</v>
      </c>
      <c r="H1566" s="524" t="s">
        <v>100</v>
      </c>
      <c r="I1566" s="582" t="str">
        <f>VLOOKUP(H1566,'9a-Typen vloeren'!$A$10:$B$40,2,FALSE)</f>
        <v>Sprayen/ conserveren</v>
      </c>
      <c r="J1566" s="586">
        <v>24.68</v>
      </c>
      <c r="K1566" s="433">
        <f t="shared" si="128"/>
        <v>24.68</v>
      </c>
      <c r="L1566" s="433">
        <f t="shared" si="129"/>
        <v>0</v>
      </c>
      <c r="M1566" s="433">
        <f t="shared" si="130"/>
        <v>0</v>
      </c>
      <c r="N1566" s="672">
        <v>2</v>
      </c>
      <c r="O1566" s="729" t="e">
        <f>IF(N1566="",0,N1566*K1566/'9b-Vloeronderhoud'!$F$4)</f>
        <v>#DIV/0!</v>
      </c>
      <c r="P1566" s="672"/>
      <c r="Q1566" s="729" t="e">
        <f>IF(O1566="",0,P1566*L1566/'9b-Vloeronderhoud'!$F$6)</f>
        <v>#DIV/0!</v>
      </c>
      <c r="R1566" s="449">
        <v>1</v>
      </c>
      <c r="S1566" s="672">
        <v>120</v>
      </c>
      <c r="T1566" s="161" t="e">
        <f t="shared" si="126"/>
        <v>#DIV/0!</v>
      </c>
      <c r="U1566" s="162">
        <f>IF(S1566="nio",0,IF(S1566&gt;0,VLOOKUP(G1566,'3-Productie normen'!A:K,VLOOKUP(S1566,'3-Productie normen'!L:N,3,FALSE),FALSE)))</f>
        <v>0</v>
      </c>
      <c r="V1566" s="162">
        <f>VLOOKUP(G1566,'3-Productie normen'!A:K,10,FALSE)</f>
        <v>6152.9500017547598</v>
      </c>
      <c r="W1566" s="163">
        <f>VLOOKUP(G1566,'3-Productie normen'!A:K,11,FALSE)</f>
        <v>0</v>
      </c>
      <c r="X1566" s="163"/>
      <c r="Z1566" s="129">
        <f t="shared" si="127"/>
        <v>2961.6</v>
      </c>
    </row>
    <row r="1567" spans="1:26" ht="14.1" customHeight="1">
      <c r="A1567" s="144">
        <v>1605</v>
      </c>
      <c r="B1567" s="485" t="s">
        <v>239</v>
      </c>
      <c r="C1567" s="159" t="s">
        <v>631</v>
      </c>
      <c r="D1567" s="132" t="s">
        <v>98</v>
      </c>
      <c r="E1567" s="702">
        <v>18</v>
      </c>
      <c r="F1567" s="160" t="s">
        <v>267</v>
      </c>
      <c r="G1567" s="4" t="s">
        <v>18</v>
      </c>
      <c r="H1567" s="303" t="s">
        <v>955</v>
      </c>
      <c r="I1567" s="582" t="str">
        <f>VLOOKUP(H1567,'9a-Typen vloeren'!$A$10:$B$40,2,FALSE)</f>
        <v>zie kwaliteitsontwerp</v>
      </c>
      <c r="J1567" s="586">
        <v>1.3879999999999999</v>
      </c>
      <c r="K1567" s="433">
        <f t="shared" si="128"/>
        <v>0</v>
      </c>
      <c r="L1567" s="433">
        <f t="shared" si="129"/>
        <v>0</v>
      </c>
      <c r="M1567" s="433">
        <f t="shared" si="130"/>
        <v>0</v>
      </c>
      <c r="N1567" s="672"/>
      <c r="O1567" s="729">
        <f>IF(N1567="",0,N1567*K1567/'9b-Vloeronderhoud'!$F$4)</f>
        <v>0</v>
      </c>
      <c r="P1567" s="672"/>
      <c r="Q1567" s="729" t="e">
        <f>IF(O1567="",0,P1567*L1567/'9b-Vloeronderhoud'!$F$6)</f>
        <v>#DIV/0!</v>
      </c>
      <c r="R1567" s="449">
        <v>1</v>
      </c>
      <c r="S1567" s="672">
        <v>190</v>
      </c>
      <c r="T1567" s="161" t="e">
        <f t="shared" si="126"/>
        <v>#DIV/0!</v>
      </c>
      <c r="U1567" s="162">
        <f>IF(S1567="nio",0,IF(S1567&gt;0,VLOOKUP(G1567,'3-Productie normen'!A:K,VLOOKUP(S1567,'3-Productie normen'!L:N,3,FALSE),FALSE)))</f>
        <v>0</v>
      </c>
      <c r="V1567" s="162">
        <f>VLOOKUP(G1567,'3-Productie normen'!A:K,10,FALSE)</f>
        <v>1859.5880019121171</v>
      </c>
      <c r="W1567" s="163">
        <f>VLOOKUP(G1567,'3-Productie normen'!A:K,11,FALSE)</f>
        <v>0</v>
      </c>
      <c r="X1567" s="163"/>
      <c r="Z1567" s="129">
        <f t="shared" si="127"/>
        <v>263.71999999999997</v>
      </c>
    </row>
    <row r="1568" spans="1:26" ht="14.1" customHeight="1">
      <c r="A1568" s="144">
        <v>1606</v>
      </c>
      <c r="B1568" s="485" t="s">
        <v>239</v>
      </c>
      <c r="C1568" s="159" t="s">
        <v>631</v>
      </c>
      <c r="D1568" s="132" t="s">
        <v>98</v>
      </c>
      <c r="E1568" s="702">
        <v>19</v>
      </c>
      <c r="F1568" s="160" t="s">
        <v>860</v>
      </c>
      <c r="G1568" s="460" t="s">
        <v>18</v>
      </c>
      <c r="H1568" s="303" t="s">
        <v>955</v>
      </c>
      <c r="I1568" s="582" t="str">
        <f>VLOOKUP(H1568,'9a-Typen vloeren'!$A$10:$B$40,2,FALSE)</f>
        <v>zie kwaliteitsontwerp</v>
      </c>
      <c r="J1568" s="586">
        <v>4.84</v>
      </c>
      <c r="K1568" s="433">
        <f t="shared" si="128"/>
        <v>0</v>
      </c>
      <c r="L1568" s="433">
        <f t="shared" si="129"/>
        <v>0</v>
      </c>
      <c r="M1568" s="433">
        <f t="shared" si="130"/>
        <v>0</v>
      </c>
      <c r="N1568" s="672"/>
      <c r="O1568" s="729">
        <f>IF(N1568="",0,N1568*K1568/'9b-Vloeronderhoud'!$F$4)</f>
        <v>0</v>
      </c>
      <c r="P1568" s="672"/>
      <c r="Q1568" s="729" t="e">
        <f>IF(O1568="",0,P1568*L1568/'9b-Vloeronderhoud'!$F$6)</f>
        <v>#DIV/0!</v>
      </c>
      <c r="R1568" s="449">
        <v>1</v>
      </c>
      <c r="S1568" s="672">
        <v>190</v>
      </c>
      <c r="T1568" s="161" t="e">
        <f t="shared" si="126"/>
        <v>#DIV/0!</v>
      </c>
      <c r="U1568" s="162">
        <f>IF(S1568="nio",0,IF(S1568&gt;0,VLOOKUP(G1568,'3-Productie normen'!A:K,VLOOKUP(S1568,'3-Productie normen'!L:N,3,FALSE),FALSE)))</f>
        <v>0</v>
      </c>
      <c r="V1568" s="162">
        <f>VLOOKUP(G1568,'3-Productie normen'!A:K,10,FALSE)</f>
        <v>1859.5880019121171</v>
      </c>
      <c r="W1568" s="163">
        <f>VLOOKUP(G1568,'3-Productie normen'!A:K,11,FALSE)</f>
        <v>0</v>
      </c>
      <c r="X1568" s="163"/>
      <c r="Z1568" s="129">
        <f t="shared" si="127"/>
        <v>919.6</v>
      </c>
    </row>
    <row r="1569" spans="1:26" ht="14.1" customHeight="1">
      <c r="A1569" s="144">
        <v>1607</v>
      </c>
      <c r="B1569" s="485" t="s">
        <v>239</v>
      </c>
      <c r="C1569" s="159" t="s">
        <v>631</v>
      </c>
      <c r="D1569" s="132" t="s">
        <v>98</v>
      </c>
      <c r="E1569" s="702">
        <v>20</v>
      </c>
      <c r="F1569" s="160" t="s">
        <v>582</v>
      </c>
      <c r="G1569" s="546" t="s">
        <v>189</v>
      </c>
      <c r="H1569" s="303" t="s">
        <v>332</v>
      </c>
      <c r="I1569" s="582" t="str">
        <f>VLOOKUP(H1569,'9a-Typen vloeren'!$A$10:$B$40,2,FALSE)</f>
        <v>Sproei/extraheren</v>
      </c>
      <c r="J1569" s="586">
        <v>15.8</v>
      </c>
      <c r="K1569" s="433">
        <f t="shared" si="128"/>
        <v>0</v>
      </c>
      <c r="L1569" s="433">
        <f t="shared" si="129"/>
        <v>0</v>
      </c>
      <c r="M1569" s="433">
        <f t="shared" si="130"/>
        <v>15.8</v>
      </c>
      <c r="N1569" s="672"/>
      <c r="O1569" s="729">
        <f>IF(N1569="",0,N1569*K1569/'9b-Vloeronderhoud'!$F$4)</f>
        <v>0</v>
      </c>
      <c r="P1569" s="672"/>
      <c r="Q1569" s="729" t="e">
        <f>IF(O1569="",0,P1569*L1569/'9b-Vloeronderhoud'!$F$6)</f>
        <v>#DIV/0!</v>
      </c>
      <c r="R1569" s="449">
        <v>1</v>
      </c>
      <c r="S1569" s="672">
        <v>40</v>
      </c>
      <c r="T1569" s="161" t="e">
        <f t="shared" si="126"/>
        <v>#DIV/0!</v>
      </c>
      <c r="U1569" s="162">
        <f>IF(S1569="nio",0,IF(S1569&gt;0,VLOOKUP(G1569,'3-Productie normen'!A:K,VLOOKUP(S1569,'3-Productie normen'!L:N,3,FALSE),FALSE)))</f>
        <v>0</v>
      </c>
      <c r="V1569" s="162">
        <f>VLOOKUP(G1569,'3-Productie normen'!A:K,10,FALSE)</f>
        <v>1494.1700078582762</v>
      </c>
      <c r="W1569" s="163">
        <f>VLOOKUP(G1569,'3-Productie normen'!A:K,11,FALSE)</f>
        <v>0</v>
      </c>
      <c r="X1569" s="163"/>
      <c r="Z1569" s="129">
        <f t="shared" si="127"/>
        <v>632</v>
      </c>
    </row>
    <row r="1570" spans="1:26" ht="14.1" customHeight="1">
      <c r="A1570" s="144">
        <v>1608</v>
      </c>
      <c r="B1570" s="485" t="s">
        <v>239</v>
      </c>
      <c r="C1570" s="159" t="s">
        <v>631</v>
      </c>
      <c r="D1570" s="132" t="s">
        <v>98</v>
      </c>
      <c r="E1570" s="702">
        <v>21</v>
      </c>
      <c r="F1570" s="160" t="s">
        <v>391</v>
      </c>
      <c r="G1570" s="460" t="s">
        <v>881</v>
      </c>
      <c r="H1570" s="524" t="s">
        <v>100</v>
      </c>
      <c r="I1570" s="582" t="str">
        <f>VLOOKUP(H1570,'9a-Typen vloeren'!$A$10:$B$40,2,FALSE)</f>
        <v>Sprayen/ conserveren</v>
      </c>
      <c r="J1570" s="586">
        <v>1.93</v>
      </c>
      <c r="K1570" s="433">
        <f t="shared" si="128"/>
        <v>0</v>
      </c>
      <c r="L1570" s="433">
        <f t="shared" si="129"/>
        <v>0</v>
      </c>
      <c r="M1570" s="433">
        <f t="shared" si="130"/>
        <v>0</v>
      </c>
      <c r="N1570" s="672"/>
      <c r="O1570" s="729">
        <f>IF(N1570="",0,N1570*K1570/'9b-Vloeronderhoud'!$F$4)</f>
        <v>0</v>
      </c>
      <c r="P1570" s="672"/>
      <c r="Q1570" s="729" t="e">
        <f>IF(O1570="",0,P1570*L1570/'9b-Vloeronderhoud'!$F$6)</f>
        <v>#DIV/0!</v>
      </c>
      <c r="R1570" s="449">
        <v>1</v>
      </c>
      <c r="S1570" s="672" t="s">
        <v>179</v>
      </c>
      <c r="T1570" s="161">
        <f t="shared" si="126"/>
        <v>0</v>
      </c>
      <c r="U1570" s="162">
        <f>IF(S1570="nio",0,IF(S1570&gt;0,VLOOKUP(G1570,'3-Productie normen'!A:K,VLOOKUP(S1570,'3-Productie normen'!L:N,3,FALSE),FALSE)))</f>
        <v>0</v>
      </c>
      <c r="V1570" s="162">
        <f>VLOOKUP(G1570,'3-Productie normen'!A:K,10,FALSE)</f>
        <v>5262.809993648526</v>
      </c>
      <c r="W1570" s="163">
        <f>VLOOKUP(G1570,'3-Productie normen'!A:K,11,FALSE)</f>
        <v>0</v>
      </c>
      <c r="X1570" s="163"/>
      <c r="Z1570" s="129">
        <f t="shared" si="127"/>
        <v>0</v>
      </c>
    </row>
    <row r="1571" spans="1:26" ht="14.1" customHeight="1">
      <c r="A1571" s="144">
        <v>1609</v>
      </c>
      <c r="B1571" s="485" t="s">
        <v>239</v>
      </c>
      <c r="C1571" s="159" t="s">
        <v>631</v>
      </c>
      <c r="D1571" s="132" t="s">
        <v>98</v>
      </c>
      <c r="E1571" s="702">
        <v>22</v>
      </c>
      <c r="F1571" s="160" t="s">
        <v>604</v>
      </c>
      <c r="G1571" s="460" t="s">
        <v>99</v>
      </c>
      <c r="H1571" s="524" t="s">
        <v>802</v>
      </c>
      <c r="I1571" s="582" t="str">
        <f>VLOOKUP(H1571,'9a-Typen vloeren'!$A$10:$B$40,2,FALSE)</f>
        <v>n.v.t.</v>
      </c>
      <c r="J1571" s="586">
        <v>5.77</v>
      </c>
      <c r="K1571" s="433">
        <f t="shared" si="128"/>
        <v>0</v>
      </c>
      <c r="L1571" s="433">
        <f t="shared" si="129"/>
        <v>0</v>
      </c>
      <c r="M1571" s="433">
        <f t="shared" si="130"/>
        <v>0</v>
      </c>
      <c r="N1571" s="672"/>
      <c r="O1571" s="729">
        <f>IF(N1571="",0,N1571*K1571/'9b-Vloeronderhoud'!$F$4)</f>
        <v>0</v>
      </c>
      <c r="P1571" s="672"/>
      <c r="Q1571" s="729" t="e">
        <f>IF(O1571="",0,P1571*L1571/'9b-Vloeronderhoud'!$F$6)</f>
        <v>#DIV/0!</v>
      </c>
      <c r="R1571" s="449">
        <v>1</v>
      </c>
      <c r="S1571" s="672">
        <v>190</v>
      </c>
      <c r="T1571" s="161" t="e">
        <f t="shared" si="126"/>
        <v>#DIV/0!</v>
      </c>
      <c r="U1571" s="162">
        <f>IF(S1571="nio",0,IF(S1571&gt;0,VLOOKUP(G1571,'3-Productie normen'!A:K,VLOOKUP(S1571,'3-Productie normen'!L:N,3,FALSE),FALSE)))</f>
        <v>0</v>
      </c>
      <c r="V1571" s="162">
        <f>VLOOKUP(G1571,'3-Productie normen'!A:K,10,FALSE)</f>
        <v>726.97999910354622</v>
      </c>
      <c r="W1571" s="163">
        <f>VLOOKUP(G1571,'3-Productie normen'!A:K,11,FALSE)</f>
        <v>0</v>
      </c>
      <c r="X1571" s="163"/>
      <c r="Z1571" s="129">
        <f t="shared" si="127"/>
        <v>1096.3</v>
      </c>
    </row>
    <row r="1572" spans="1:26" ht="14.1" customHeight="1">
      <c r="A1572" s="144">
        <v>1610</v>
      </c>
      <c r="B1572" s="485" t="s">
        <v>239</v>
      </c>
      <c r="C1572" s="159" t="s">
        <v>631</v>
      </c>
      <c r="D1572" s="132" t="s">
        <v>98</v>
      </c>
      <c r="E1572" s="702">
        <v>23</v>
      </c>
      <c r="F1572" s="160" t="s">
        <v>611</v>
      </c>
      <c r="G1572" s="460" t="s">
        <v>286</v>
      </c>
      <c r="H1572" s="524" t="s">
        <v>100</v>
      </c>
      <c r="I1572" s="582" t="str">
        <f>VLOOKUP(H1572,'9a-Typen vloeren'!$A$10:$B$40,2,FALSE)</f>
        <v>Sprayen/ conserveren</v>
      </c>
      <c r="J1572" s="586">
        <v>5.85</v>
      </c>
      <c r="K1572" s="433">
        <f t="shared" si="128"/>
        <v>5.85</v>
      </c>
      <c r="L1572" s="433">
        <f t="shared" si="129"/>
        <v>0</v>
      </c>
      <c r="M1572" s="433">
        <f t="shared" si="130"/>
        <v>0</v>
      </c>
      <c r="N1572" s="672"/>
      <c r="O1572" s="729">
        <f>IF(N1572="",0,N1572*K1572/'9b-Vloeronderhoud'!$F$4)</f>
        <v>0</v>
      </c>
      <c r="P1572" s="672"/>
      <c r="Q1572" s="729" t="e">
        <f>IF(O1572="",0,P1572*L1572/'9b-Vloeronderhoud'!$F$6)</f>
        <v>#DIV/0!</v>
      </c>
      <c r="R1572" s="449">
        <v>1</v>
      </c>
      <c r="S1572" s="672">
        <v>80</v>
      </c>
      <c r="T1572" s="161" t="e">
        <f t="shared" si="126"/>
        <v>#DIV/0!</v>
      </c>
      <c r="U1572" s="162">
        <f>IF(S1572="nio",0,IF(S1572&gt;0,VLOOKUP(G1572,'3-Productie normen'!A:K,VLOOKUP(S1572,'3-Productie normen'!L:N,3,FALSE),FALSE)))</f>
        <v>0</v>
      </c>
      <c r="V1572" s="162">
        <f>VLOOKUP(G1572,'3-Productie normen'!A:K,10,FALSE)</f>
        <v>6152.9500017547598</v>
      </c>
      <c r="W1572" s="163">
        <f>VLOOKUP(G1572,'3-Productie normen'!A:K,11,FALSE)</f>
        <v>0</v>
      </c>
      <c r="X1572" s="163"/>
      <c r="Z1572" s="129">
        <f t="shared" si="127"/>
        <v>468</v>
      </c>
    </row>
    <row r="1573" spans="1:26" ht="14.1" customHeight="1">
      <c r="A1573" s="144">
        <v>1611</v>
      </c>
      <c r="B1573" s="485" t="s">
        <v>239</v>
      </c>
      <c r="C1573" s="159" t="s">
        <v>631</v>
      </c>
      <c r="D1573" s="132" t="s">
        <v>98</v>
      </c>
      <c r="E1573" s="702">
        <v>24</v>
      </c>
      <c r="F1573" s="160" t="s">
        <v>287</v>
      </c>
      <c r="G1573" s="516" t="s">
        <v>287</v>
      </c>
      <c r="H1573" s="524" t="s">
        <v>100</v>
      </c>
      <c r="I1573" s="582" t="str">
        <f>VLOOKUP(H1573,'9a-Typen vloeren'!$A$10:$B$40,2,FALSE)</f>
        <v>Sprayen/ conserveren</v>
      </c>
      <c r="J1573" s="586">
        <v>7.67</v>
      </c>
      <c r="K1573" s="433">
        <f t="shared" si="128"/>
        <v>7.67</v>
      </c>
      <c r="L1573" s="433">
        <f t="shared" si="129"/>
        <v>0</v>
      </c>
      <c r="M1573" s="433">
        <f t="shared" si="130"/>
        <v>0</v>
      </c>
      <c r="N1573" s="672"/>
      <c r="O1573" s="729">
        <f>IF(N1573="",0,N1573*K1573/'9b-Vloeronderhoud'!$F$4)</f>
        <v>0</v>
      </c>
      <c r="P1573" s="672"/>
      <c r="Q1573" s="729" t="e">
        <f>IF(O1573="",0,P1573*L1573/'9b-Vloeronderhoud'!$F$6)</f>
        <v>#DIV/0!</v>
      </c>
      <c r="R1573" s="449">
        <v>1</v>
      </c>
      <c r="S1573" s="672">
        <v>80</v>
      </c>
      <c r="T1573" s="161" t="e">
        <f t="shared" si="126"/>
        <v>#DIV/0!</v>
      </c>
      <c r="U1573" s="162">
        <f>IF(S1573="nio",0,IF(S1573&gt;0,VLOOKUP(G1573,'3-Productie normen'!A:K,VLOOKUP(S1573,'3-Productie normen'!L:N,3,FALSE),FALSE)))</f>
        <v>0</v>
      </c>
      <c r="V1573" s="162">
        <f>VLOOKUP(G1573,'3-Productie normen'!A:K,10,FALSE)</f>
        <v>519.460002565384</v>
      </c>
      <c r="W1573" s="163">
        <f>VLOOKUP(G1573,'3-Productie normen'!A:K,11,FALSE)</f>
        <v>0</v>
      </c>
      <c r="X1573" s="163"/>
      <c r="Z1573" s="129">
        <f t="shared" si="127"/>
        <v>613.6</v>
      </c>
    </row>
    <row r="1574" spans="1:26" ht="14.1" customHeight="1">
      <c r="A1574" s="144">
        <v>1612</v>
      </c>
      <c r="B1574" s="485" t="s">
        <v>239</v>
      </c>
      <c r="C1574" s="159" t="s">
        <v>631</v>
      </c>
      <c r="D1574" s="132" t="s">
        <v>98</v>
      </c>
      <c r="E1574" s="702">
        <v>25</v>
      </c>
      <c r="F1574" s="160" t="s">
        <v>281</v>
      </c>
      <c r="G1574" s="460" t="s">
        <v>881</v>
      </c>
      <c r="H1574" s="524" t="s">
        <v>333</v>
      </c>
      <c r="I1574" s="582" t="str">
        <f>VLOOKUP(H1574,'9a-Typen vloeren'!$A$10:$B$40,2,FALSE)</f>
        <v>Schrobben</v>
      </c>
      <c r="J1574" s="586">
        <v>2.88</v>
      </c>
      <c r="K1574" s="433">
        <f t="shared" si="128"/>
        <v>0</v>
      </c>
      <c r="L1574" s="433">
        <f t="shared" si="129"/>
        <v>0</v>
      </c>
      <c r="M1574" s="433">
        <f t="shared" si="130"/>
        <v>0</v>
      </c>
      <c r="N1574" s="672"/>
      <c r="O1574" s="729">
        <f>IF(N1574="",0,N1574*K1574/'9b-Vloeronderhoud'!$F$4)</f>
        <v>0</v>
      </c>
      <c r="P1574" s="672"/>
      <c r="Q1574" s="729" t="e">
        <f>IF(O1574="",0,P1574*L1574/'9b-Vloeronderhoud'!$F$6)</f>
        <v>#DIV/0!</v>
      </c>
      <c r="R1574" s="449">
        <v>1</v>
      </c>
      <c r="S1574" s="672" t="s">
        <v>179</v>
      </c>
      <c r="T1574" s="161">
        <f t="shared" si="126"/>
        <v>0</v>
      </c>
      <c r="U1574" s="162">
        <f>IF(S1574="nio",0,IF(S1574&gt;0,VLOOKUP(G1574,'3-Productie normen'!A:K,VLOOKUP(S1574,'3-Productie normen'!L:N,3,FALSE),FALSE)))</f>
        <v>0</v>
      </c>
      <c r="V1574" s="162">
        <f>VLOOKUP(G1574,'3-Productie normen'!A:K,10,FALSE)</f>
        <v>5262.809993648526</v>
      </c>
      <c r="W1574" s="163">
        <f>VLOOKUP(G1574,'3-Productie normen'!A:K,11,FALSE)</f>
        <v>0</v>
      </c>
      <c r="X1574" s="163"/>
      <c r="Z1574" s="129">
        <f t="shared" si="127"/>
        <v>0</v>
      </c>
    </row>
    <row r="1575" spans="1:26" ht="14.1" customHeight="1">
      <c r="A1575" s="144">
        <v>1613</v>
      </c>
      <c r="B1575" s="485" t="s">
        <v>239</v>
      </c>
      <c r="C1575" s="159" t="s">
        <v>631</v>
      </c>
      <c r="D1575" s="132" t="s">
        <v>98</v>
      </c>
      <c r="E1575" s="702">
        <v>26</v>
      </c>
      <c r="F1575" s="494" t="s">
        <v>221</v>
      </c>
      <c r="G1575" s="460" t="s">
        <v>221</v>
      </c>
      <c r="H1575" s="524" t="s">
        <v>100</v>
      </c>
      <c r="I1575" s="582" t="str">
        <f>VLOOKUP(H1575,'9a-Typen vloeren'!$A$10:$B$40,2,FALSE)</f>
        <v>Sprayen/ conserveren</v>
      </c>
      <c r="J1575" s="586">
        <v>51.03</v>
      </c>
      <c r="K1575" s="433">
        <f t="shared" si="128"/>
        <v>51.03</v>
      </c>
      <c r="L1575" s="433">
        <f t="shared" si="129"/>
        <v>0</v>
      </c>
      <c r="M1575" s="433">
        <f t="shared" si="130"/>
        <v>0</v>
      </c>
      <c r="N1575" s="672"/>
      <c r="O1575" s="729">
        <f>IF(N1575="",0,N1575*K1575/'9b-Vloeronderhoud'!$F$4)</f>
        <v>0</v>
      </c>
      <c r="P1575" s="672"/>
      <c r="Q1575" s="729" t="e">
        <f>IF(O1575="",0,P1575*L1575/'9b-Vloeronderhoud'!$F$6)</f>
        <v>#DIV/0!</v>
      </c>
      <c r="R1575" s="449">
        <v>1</v>
      </c>
      <c r="S1575" s="672">
        <v>80</v>
      </c>
      <c r="T1575" s="161" t="e">
        <f t="shared" si="126"/>
        <v>#DIV/0!</v>
      </c>
      <c r="U1575" s="162">
        <f>IF(S1575="nio",0,IF(S1575&gt;0,VLOOKUP(G1575,'3-Productie normen'!A:K,VLOOKUP(S1575,'3-Productie normen'!L:N,3,FALSE),FALSE)))</f>
        <v>0</v>
      </c>
      <c r="V1575" s="162">
        <f>VLOOKUP(G1575,'3-Productie normen'!A:K,10,FALSE)</f>
        <v>16013.110036668773</v>
      </c>
      <c r="W1575" s="163">
        <f>VLOOKUP(G1575,'3-Productie normen'!A:K,11,FALSE)</f>
        <v>0</v>
      </c>
      <c r="X1575" s="163"/>
      <c r="Z1575" s="129">
        <f t="shared" si="127"/>
        <v>4082.4</v>
      </c>
    </row>
    <row r="1576" spans="1:26" ht="14.1" customHeight="1">
      <c r="A1576" s="144">
        <v>1614</v>
      </c>
      <c r="B1576" s="485" t="s">
        <v>239</v>
      </c>
      <c r="C1576" s="159" t="s">
        <v>631</v>
      </c>
      <c r="D1576" s="132" t="s">
        <v>98</v>
      </c>
      <c r="E1576" s="702">
        <v>27</v>
      </c>
      <c r="F1576" s="516" t="s">
        <v>606</v>
      </c>
      <c r="G1576" s="460" t="s">
        <v>881</v>
      </c>
      <c r="H1576" s="524" t="s">
        <v>100</v>
      </c>
      <c r="I1576" s="582" t="str">
        <f>VLOOKUP(H1576,'9a-Typen vloeren'!$A$10:$B$40,2,FALSE)</f>
        <v>Sprayen/ conserveren</v>
      </c>
      <c r="J1576" s="586">
        <v>1.48</v>
      </c>
      <c r="K1576" s="433">
        <f t="shared" si="128"/>
        <v>0</v>
      </c>
      <c r="L1576" s="433">
        <f t="shared" si="129"/>
        <v>0</v>
      </c>
      <c r="M1576" s="433">
        <f t="shared" si="130"/>
        <v>0</v>
      </c>
      <c r="N1576" s="672"/>
      <c r="O1576" s="729">
        <f>IF(N1576="",0,N1576*K1576/'9b-Vloeronderhoud'!$F$4)</f>
        <v>0</v>
      </c>
      <c r="P1576" s="672"/>
      <c r="Q1576" s="729" t="e">
        <f>IF(O1576="",0,P1576*L1576/'9b-Vloeronderhoud'!$F$6)</f>
        <v>#DIV/0!</v>
      </c>
      <c r="R1576" s="449">
        <v>1</v>
      </c>
      <c r="S1576" s="672" t="s">
        <v>179</v>
      </c>
      <c r="T1576" s="161">
        <f t="shared" si="126"/>
        <v>0</v>
      </c>
      <c r="U1576" s="162">
        <f>IF(S1576="nio",0,IF(S1576&gt;0,VLOOKUP(G1576,'3-Productie normen'!A:K,VLOOKUP(S1576,'3-Productie normen'!L:N,3,FALSE),FALSE)))</f>
        <v>0</v>
      </c>
      <c r="V1576" s="162">
        <f>VLOOKUP(G1576,'3-Productie normen'!A:K,10,FALSE)</f>
        <v>5262.809993648526</v>
      </c>
      <c r="W1576" s="163">
        <f>VLOOKUP(G1576,'3-Productie normen'!A:K,11,FALSE)</f>
        <v>0</v>
      </c>
      <c r="X1576" s="163"/>
      <c r="Z1576" s="129">
        <f t="shared" si="127"/>
        <v>0</v>
      </c>
    </row>
    <row r="1577" spans="1:26" ht="14.1" customHeight="1">
      <c r="A1577" s="144">
        <v>1615</v>
      </c>
      <c r="B1577" s="485" t="s">
        <v>239</v>
      </c>
      <c r="C1577" s="159" t="s">
        <v>631</v>
      </c>
      <c r="D1577" s="132" t="s">
        <v>98</v>
      </c>
      <c r="E1577" s="702">
        <v>28</v>
      </c>
      <c r="F1577" s="160" t="s">
        <v>283</v>
      </c>
      <c r="G1577" s="409" t="s">
        <v>286</v>
      </c>
      <c r="H1577" s="524" t="s">
        <v>100</v>
      </c>
      <c r="I1577" s="582" t="str">
        <f>VLOOKUP(H1577,'9a-Typen vloeren'!$A$10:$B$40,2,FALSE)</f>
        <v>Sprayen/ conserveren</v>
      </c>
      <c r="J1577" s="586">
        <v>58.2</v>
      </c>
      <c r="K1577" s="433">
        <f t="shared" si="128"/>
        <v>58.2</v>
      </c>
      <c r="L1577" s="433">
        <f t="shared" si="129"/>
        <v>0</v>
      </c>
      <c r="M1577" s="433">
        <f t="shared" si="130"/>
        <v>0</v>
      </c>
      <c r="N1577" s="672">
        <v>2</v>
      </c>
      <c r="O1577" s="729" t="e">
        <f>IF(N1577="",0,N1577*K1577/'9b-Vloeronderhoud'!$F$4)</f>
        <v>#DIV/0!</v>
      </c>
      <c r="P1577" s="672"/>
      <c r="Q1577" s="729" t="e">
        <f>IF(O1577="",0,P1577*L1577/'9b-Vloeronderhoud'!$F$6)</f>
        <v>#DIV/0!</v>
      </c>
      <c r="R1577" s="449">
        <v>1</v>
      </c>
      <c r="S1577" s="672">
        <v>120</v>
      </c>
      <c r="T1577" s="161" t="e">
        <f t="shared" si="126"/>
        <v>#DIV/0!</v>
      </c>
      <c r="U1577" s="162">
        <f>IF(S1577="nio",0,IF(S1577&gt;0,VLOOKUP(G1577,'3-Productie normen'!A:K,VLOOKUP(S1577,'3-Productie normen'!L:N,3,FALSE),FALSE)))</f>
        <v>0</v>
      </c>
      <c r="V1577" s="162">
        <f>VLOOKUP(G1577,'3-Productie normen'!A:K,10,FALSE)</f>
        <v>6152.9500017547598</v>
      </c>
      <c r="W1577" s="163">
        <f>VLOOKUP(G1577,'3-Productie normen'!A:K,11,FALSE)</f>
        <v>0</v>
      </c>
      <c r="X1577" s="163"/>
      <c r="Z1577" s="129">
        <f t="shared" si="127"/>
        <v>6984</v>
      </c>
    </row>
    <row r="1578" spans="1:26" ht="14.1" customHeight="1">
      <c r="A1578" s="144">
        <v>1616</v>
      </c>
      <c r="B1578" s="485" t="s">
        <v>239</v>
      </c>
      <c r="C1578" s="159" t="s">
        <v>631</v>
      </c>
      <c r="D1578" s="132" t="s">
        <v>98</v>
      </c>
      <c r="E1578" s="702">
        <v>29</v>
      </c>
      <c r="F1578" s="160" t="s">
        <v>221</v>
      </c>
      <c r="G1578" s="460" t="s">
        <v>221</v>
      </c>
      <c r="H1578" s="524" t="s">
        <v>100</v>
      </c>
      <c r="I1578" s="582" t="str">
        <f>VLOOKUP(H1578,'9a-Typen vloeren'!$A$10:$B$40,2,FALSE)</f>
        <v>Sprayen/ conserveren</v>
      </c>
      <c r="J1578" s="586">
        <v>54.3</v>
      </c>
      <c r="K1578" s="433">
        <f t="shared" si="128"/>
        <v>54.3</v>
      </c>
      <c r="L1578" s="433">
        <f t="shared" si="129"/>
        <v>0</v>
      </c>
      <c r="M1578" s="433">
        <f t="shared" si="130"/>
        <v>0</v>
      </c>
      <c r="N1578" s="672"/>
      <c r="O1578" s="729">
        <f>IF(N1578="",0,N1578*K1578/'9b-Vloeronderhoud'!$F$4)</f>
        <v>0</v>
      </c>
      <c r="P1578" s="672"/>
      <c r="Q1578" s="729" t="e">
        <f>IF(O1578="",0,P1578*L1578/'9b-Vloeronderhoud'!$F$6)</f>
        <v>#DIV/0!</v>
      </c>
      <c r="R1578" s="449">
        <v>1</v>
      </c>
      <c r="S1578" s="672">
        <v>80</v>
      </c>
      <c r="T1578" s="161" t="e">
        <f t="shared" si="126"/>
        <v>#DIV/0!</v>
      </c>
      <c r="U1578" s="162">
        <f>IF(S1578="nio",0,IF(S1578&gt;0,VLOOKUP(G1578,'3-Productie normen'!A:K,VLOOKUP(S1578,'3-Productie normen'!L:N,3,FALSE),FALSE)))</f>
        <v>0</v>
      </c>
      <c r="V1578" s="162">
        <f>VLOOKUP(G1578,'3-Productie normen'!A:K,10,FALSE)</f>
        <v>16013.110036668773</v>
      </c>
      <c r="W1578" s="163">
        <f>VLOOKUP(G1578,'3-Productie normen'!A:K,11,FALSE)</f>
        <v>0</v>
      </c>
      <c r="X1578" s="163"/>
      <c r="Z1578" s="129">
        <f t="shared" si="127"/>
        <v>4344</v>
      </c>
    </row>
    <row r="1579" spans="1:26" ht="14.1" customHeight="1">
      <c r="A1579" s="144">
        <v>1617</v>
      </c>
      <c r="B1579" s="485" t="s">
        <v>239</v>
      </c>
      <c r="C1579" s="159" t="s">
        <v>631</v>
      </c>
      <c r="D1579" s="132" t="s">
        <v>98</v>
      </c>
      <c r="E1579" s="702">
        <v>30</v>
      </c>
      <c r="F1579" s="160" t="s">
        <v>221</v>
      </c>
      <c r="G1579" s="460" t="s">
        <v>221</v>
      </c>
      <c r="H1579" s="524" t="s">
        <v>100</v>
      </c>
      <c r="I1579" s="582" t="str">
        <f>VLOOKUP(H1579,'9a-Typen vloeren'!$A$10:$B$40,2,FALSE)</f>
        <v>Sprayen/ conserveren</v>
      </c>
      <c r="J1579" s="586">
        <v>54.3</v>
      </c>
      <c r="K1579" s="433">
        <f t="shared" si="128"/>
        <v>54.3</v>
      </c>
      <c r="L1579" s="433">
        <f t="shared" si="129"/>
        <v>0</v>
      </c>
      <c r="M1579" s="433">
        <f t="shared" si="130"/>
        <v>0</v>
      </c>
      <c r="N1579" s="672"/>
      <c r="O1579" s="729">
        <f>IF(N1579="",0,N1579*K1579/'9b-Vloeronderhoud'!$F$4)</f>
        <v>0</v>
      </c>
      <c r="P1579" s="672"/>
      <c r="Q1579" s="729" t="e">
        <f>IF(O1579="",0,P1579*L1579/'9b-Vloeronderhoud'!$F$6)</f>
        <v>#DIV/0!</v>
      </c>
      <c r="R1579" s="449">
        <v>1</v>
      </c>
      <c r="S1579" s="672">
        <v>80</v>
      </c>
      <c r="T1579" s="161" t="e">
        <f t="shared" si="126"/>
        <v>#DIV/0!</v>
      </c>
      <c r="U1579" s="162">
        <f>IF(S1579="nio",0,IF(S1579&gt;0,VLOOKUP(G1579,'3-Productie normen'!A:K,VLOOKUP(S1579,'3-Productie normen'!L:N,3,FALSE),FALSE)))</f>
        <v>0</v>
      </c>
      <c r="V1579" s="162">
        <f>VLOOKUP(G1579,'3-Productie normen'!A:K,10,FALSE)</f>
        <v>16013.110036668773</v>
      </c>
      <c r="W1579" s="163">
        <f>VLOOKUP(G1579,'3-Productie normen'!A:K,11,FALSE)</f>
        <v>0</v>
      </c>
      <c r="X1579" s="163"/>
      <c r="Z1579" s="129">
        <f t="shared" si="127"/>
        <v>4344</v>
      </c>
    </row>
    <row r="1580" spans="1:26" ht="14.1" customHeight="1">
      <c r="A1580" s="144">
        <v>1618</v>
      </c>
      <c r="B1580" s="485" t="s">
        <v>239</v>
      </c>
      <c r="C1580" s="159" t="s">
        <v>631</v>
      </c>
      <c r="D1580" s="132" t="s">
        <v>98</v>
      </c>
      <c r="E1580" s="702">
        <v>31</v>
      </c>
      <c r="F1580" s="160" t="s">
        <v>283</v>
      </c>
      <c r="G1580" s="460" t="s">
        <v>286</v>
      </c>
      <c r="H1580" s="524" t="s">
        <v>100</v>
      </c>
      <c r="I1580" s="582" t="str">
        <f>VLOOKUP(H1580,'9a-Typen vloeren'!$A$10:$B$40,2,FALSE)</f>
        <v>Sprayen/ conserveren</v>
      </c>
      <c r="J1580" s="586">
        <v>6.67</v>
      </c>
      <c r="K1580" s="433">
        <f t="shared" si="128"/>
        <v>6.67</v>
      </c>
      <c r="L1580" s="433">
        <f t="shared" si="129"/>
        <v>0</v>
      </c>
      <c r="M1580" s="433">
        <f t="shared" si="130"/>
        <v>0</v>
      </c>
      <c r="N1580" s="672">
        <v>2</v>
      </c>
      <c r="O1580" s="729" t="e">
        <f>IF(N1580="",0,N1580*K1580/'9b-Vloeronderhoud'!$F$4)</f>
        <v>#DIV/0!</v>
      </c>
      <c r="P1580" s="672"/>
      <c r="Q1580" s="729" t="e">
        <f>IF(O1580="",0,P1580*L1580/'9b-Vloeronderhoud'!$F$6)</f>
        <v>#DIV/0!</v>
      </c>
      <c r="R1580" s="449">
        <v>1</v>
      </c>
      <c r="S1580" s="672">
        <v>120</v>
      </c>
      <c r="T1580" s="161" t="e">
        <f t="shared" si="126"/>
        <v>#DIV/0!</v>
      </c>
      <c r="U1580" s="162">
        <f>IF(S1580="nio",0,IF(S1580&gt;0,VLOOKUP(G1580,'3-Productie normen'!A:K,VLOOKUP(S1580,'3-Productie normen'!L:N,3,FALSE),FALSE)))</f>
        <v>0</v>
      </c>
      <c r="V1580" s="162">
        <f>VLOOKUP(G1580,'3-Productie normen'!A:K,10,FALSE)</f>
        <v>6152.9500017547598</v>
      </c>
      <c r="W1580" s="163">
        <f>VLOOKUP(G1580,'3-Productie normen'!A:K,11,FALSE)</f>
        <v>0</v>
      </c>
      <c r="X1580" s="163"/>
      <c r="Z1580" s="129">
        <f t="shared" si="127"/>
        <v>800.4</v>
      </c>
    </row>
    <row r="1581" spans="1:26" ht="14.1" customHeight="1">
      <c r="A1581" s="144">
        <v>1619</v>
      </c>
      <c r="B1581" s="485" t="s">
        <v>239</v>
      </c>
      <c r="C1581" s="159" t="s">
        <v>631</v>
      </c>
      <c r="D1581" s="132" t="s">
        <v>98</v>
      </c>
      <c r="E1581" s="702">
        <v>32</v>
      </c>
      <c r="F1581" s="160" t="s">
        <v>612</v>
      </c>
      <c r="G1581" s="533" t="s">
        <v>18</v>
      </c>
      <c r="H1581" s="303" t="s">
        <v>955</v>
      </c>
      <c r="I1581" s="582" t="str">
        <f>VLOOKUP(H1581,'9a-Typen vloeren'!$A$10:$B$40,2,FALSE)</f>
        <v>zie kwaliteitsontwerp</v>
      </c>
      <c r="J1581" s="586">
        <v>8.33</v>
      </c>
      <c r="K1581" s="433">
        <f t="shared" si="128"/>
        <v>0</v>
      </c>
      <c r="L1581" s="433">
        <f t="shared" si="129"/>
        <v>0</v>
      </c>
      <c r="M1581" s="433">
        <f t="shared" si="130"/>
        <v>0</v>
      </c>
      <c r="N1581" s="672"/>
      <c r="O1581" s="729">
        <f>IF(N1581="",0,N1581*K1581/'9b-Vloeronderhoud'!$F$4)</f>
        <v>0</v>
      </c>
      <c r="P1581" s="672"/>
      <c r="Q1581" s="729" t="e">
        <f>IF(O1581="",0,P1581*L1581/'9b-Vloeronderhoud'!$F$6)</f>
        <v>#DIV/0!</v>
      </c>
      <c r="R1581" s="449">
        <v>1</v>
      </c>
      <c r="S1581" s="672">
        <v>190</v>
      </c>
      <c r="T1581" s="161" t="e">
        <f t="shared" si="126"/>
        <v>#DIV/0!</v>
      </c>
      <c r="U1581" s="162">
        <f>IF(S1581="nio",0,IF(S1581&gt;0,VLOOKUP(G1581,'3-Productie normen'!A:K,VLOOKUP(S1581,'3-Productie normen'!L:N,3,FALSE),FALSE)))</f>
        <v>0</v>
      </c>
      <c r="V1581" s="162">
        <f>VLOOKUP(G1581,'3-Productie normen'!A:K,10,FALSE)</f>
        <v>1859.5880019121171</v>
      </c>
      <c r="W1581" s="163">
        <f>VLOOKUP(G1581,'3-Productie normen'!A:K,11,FALSE)</f>
        <v>0</v>
      </c>
      <c r="X1581" s="163"/>
      <c r="Z1581" s="129">
        <f t="shared" si="127"/>
        <v>1582.7</v>
      </c>
    </row>
    <row r="1582" spans="1:26" ht="14.1" customHeight="1">
      <c r="A1582" s="144">
        <v>1620</v>
      </c>
      <c r="B1582" s="485" t="s">
        <v>239</v>
      </c>
      <c r="C1582" s="159" t="s">
        <v>631</v>
      </c>
      <c r="D1582" s="132" t="s">
        <v>98</v>
      </c>
      <c r="E1582" s="702">
        <v>33</v>
      </c>
      <c r="F1582" s="160" t="s">
        <v>282</v>
      </c>
      <c r="G1582" s="460" t="s">
        <v>881</v>
      </c>
      <c r="H1582" s="524" t="s">
        <v>100</v>
      </c>
      <c r="I1582" s="582" t="str">
        <f>VLOOKUP(H1582,'9a-Typen vloeren'!$A$10:$B$40,2,FALSE)</f>
        <v>Sprayen/ conserveren</v>
      </c>
      <c r="J1582" s="586">
        <v>13.46</v>
      </c>
      <c r="K1582" s="433">
        <f t="shared" si="128"/>
        <v>0</v>
      </c>
      <c r="L1582" s="433">
        <f t="shared" si="129"/>
        <v>0</v>
      </c>
      <c r="M1582" s="433">
        <f t="shared" si="130"/>
        <v>0</v>
      </c>
      <c r="N1582" s="672"/>
      <c r="O1582" s="729">
        <f>IF(N1582="",0,N1582*K1582/'9b-Vloeronderhoud'!$F$4)</f>
        <v>0</v>
      </c>
      <c r="P1582" s="672"/>
      <c r="Q1582" s="729" t="e">
        <f>IF(O1582="",0,P1582*L1582/'9b-Vloeronderhoud'!$F$6)</f>
        <v>#DIV/0!</v>
      </c>
      <c r="R1582" s="449">
        <v>1</v>
      </c>
      <c r="S1582" s="672" t="s">
        <v>179</v>
      </c>
      <c r="T1582" s="161">
        <f t="shared" si="126"/>
        <v>0</v>
      </c>
      <c r="U1582" s="162">
        <f>IF(S1582="nio",0,IF(S1582&gt;0,VLOOKUP(G1582,'3-Productie normen'!A:K,VLOOKUP(S1582,'3-Productie normen'!L:N,3,FALSE),FALSE)))</f>
        <v>0</v>
      </c>
      <c r="V1582" s="162">
        <f>VLOOKUP(G1582,'3-Productie normen'!A:K,10,FALSE)</f>
        <v>5262.809993648526</v>
      </c>
      <c r="W1582" s="163">
        <f>VLOOKUP(G1582,'3-Productie normen'!A:K,11,FALSE)</f>
        <v>0</v>
      </c>
      <c r="X1582" s="163"/>
      <c r="Z1582" s="129">
        <f t="shared" si="127"/>
        <v>0</v>
      </c>
    </row>
    <row r="1583" spans="1:26" ht="14.1" customHeight="1">
      <c r="A1583" s="144">
        <v>1621</v>
      </c>
      <c r="B1583" s="485" t="s">
        <v>239</v>
      </c>
      <c r="C1583" s="159" t="s">
        <v>631</v>
      </c>
      <c r="D1583" s="132" t="s">
        <v>98</v>
      </c>
      <c r="E1583" s="702">
        <v>34</v>
      </c>
      <c r="F1583" s="303" t="s">
        <v>612</v>
      </c>
      <c r="G1583" s="122" t="s">
        <v>18</v>
      </c>
      <c r="H1583" s="303" t="s">
        <v>955</v>
      </c>
      <c r="I1583" s="582" t="str">
        <f>VLOOKUP(H1583,'9a-Typen vloeren'!$A$10:$B$40,2,FALSE)</f>
        <v>zie kwaliteitsontwerp</v>
      </c>
      <c r="J1583" s="586">
        <v>9.3800000000000008</v>
      </c>
      <c r="K1583" s="433">
        <f t="shared" si="128"/>
        <v>0</v>
      </c>
      <c r="L1583" s="433">
        <f t="shared" si="129"/>
        <v>0</v>
      </c>
      <c r="M1583" s="433">
        <f t="shared" si="130"/>
        <v>0</v>
      </c>
      <c r="N1583" s="672"/>
      <c r="O1583" s="729">
        <f>IF(N1583="",0,N1583*K1583/'9b-Vloeronderhoud'!$F$4)</f>
        <v>0</v>
      </c>
      <c r="P1583" s="672"/>
      <c r="Q1583" s="729" t="e">
        <f>IF(O1583="",0,P1583*L1583/'9b-Vloeronderhoud'!$F$6)</f>
        <v>#DIV/0!</v>
      </c>
      <c r="R1583" s="449">
        <v>1</v>
      </c>
      <c r="S1583" s="672">
        <v>190</v>
      </c>
      <c r="T1583" s="161" t="e">
        <f t="shared" si="126"/>
        <v>#DIV/0!</v>
      </c>
      <c r="U1583" s="162">
        <f>IF(S1583="nio",0,IF(S1583&gt;0,VLOOKUP(G1583,'3-Productie normen'!A:K,VLOOKUP(S1583,'3-Productie normen'!L:N,3,FALSE),FALSE)))</f>
        <v>0</v>
      </c>
      <c r="V1583" s="162">
        <f>VLOOKUP(G1583,'3-Productie normen'!A:K,10,FALSE)</f>
        <v>1859.5880019121171</v>
      </c>
      <c r="W1583" s="163">
        <f>VLOOKUP(G1583,'3-Productie normen'!A:K,11,FALSE)</f>
        <v>0</v>
      </c>
      <c r="X1583" s="163"/>
      <c r="Z1583" s="129">
        <f t="shared" si="127"/>
        <v>1782.2</v>
      </c>
    </row>
    <row r="1584" spans="1:26" ht="14.1" customHeight="1">
      <c r="A1584" s="144">
        <v>1622</v>
      </c>
      <c r="B1584" s="485" t="s">
        <v>239</v>
      </c>
      <c r="C1584" s="159" t="s">
        <v>631</v>
      </c>
      <c r="D1584" s="132" t="s">
        <v>98</v>
      </c>
      <c r="E1584" s="702">
        <v>35</v>
      </c>
      <c r="F1584" s="160" t="s">
        <v>267</v>
      </c>
      <c r="G1584" s="172" t="s">
        <v>18</v>
      </c>
      <c r="H1584" s="303" t="s">
        <v>955</v>
      </c>
      <c r="I1584" s="582" t="str">
        <f>VLOOKUP(H1584,'9a-Typen vloeren'!$A$10:$B$40,2,FALSE)</f>
        <v>zie kwaliteitsontwerp</v>
      </c>
      <c r="J1584" s="586">
        <v>1.5</v>
      </c>
      <c r="K1584" s="433">
        <f t="shared" si="128"/>
        <v>0</v>
      </c>
      <c r="L1584" s="433">
        <f t="shared" si="129"/>
        <v>0</v>
      </c>
      <c r="M1584" s="433">
        <f t="shared" si="130"/>
        <v>0</v>
      </c>
      <c r="N1584" s="672"/>
      <c r="O1584" s="729">
        <f>IF(N1584="",0,N1584*K1584/'9b-Vloeronderhoud'!$F$4)</f>
        <v>0</v>
      </c>
      <c r="P1584" s="672"/>
      <c r="Q1584" s="729" t="e">
        <f>IF(O1584="",0,P1584*L1584/'9b-Vloeronderhoud'!$F$6)</f>
        <v>#DIV/0!</v>
      </c>
      <c r="R1584" s="449">
        <v>1</v>
      </c>
      <c r="S1584" s="672">
        <v>190</v>
      </c>
      <c r="T1584" s="161" t="e">
        <f t="shared" si="126"/>
        <v>#DIV/0!</v>
      </c>
      <c r="U1584" s="162">
        <f>IF(S1584="nio",0,IF(S1584&gt;0,VLOOKUP(G1584,'3-Productie normen'!A:K,VLOOKUP(S1584,'3-Productie normen'!L:N,3,FALSE),FALSE)))</f>
        <v>0</v>
      </c>
      <c r="V1584" s="162">
        <f>VLOOKUP(G1584,'3-Productie normen'!A:K,10,FALSE)</f>
        <v>1859.5880019121171</v>
      </c>
      <c r="W1584" s="163">
        <f>VLOOKUP(G1584,'3-Productie normen'!A:K,11,FALSE)</f>
        <v>0</v>
      </c>
      <c r="X1584" s="163"/>
      <c r="Z1584" s="129">
        <f t="shared" si="127"/>
        <v>285</v>
      </c>
    </row>
    <row r="1585" spans="1:26" ht="14.1" customHeight="1">
      <c r="A1585" s="144">
        <v>1623</v>
      </c>
      <c r="B1585" s="485" t="s">
        <v>239</v>
      </c>
      <c r="C1585" s="159" t="s">
        <v>631</v>
      </c>
      <c r="D1585" s="132" t="s">
        <v>98</v>
      </c>
      <c r="E1585" s="702">
        <v>36</v>
      </c>
      <c r="F1585" s="160" t="s">
        <v>613</v>
      </c>
      <c r="G1585" s="122" t="s">
        <v>881</v>
      </c>
      <c r="H1585" s="504" t="s">
        <v>375</v>
      </c>
      <c r="I1585" s="582" t="str">
        <f>VLOOKUP(H1585,'9a-Typen vloeren'!$A$10:$B$40,2,FALSE)</f>
        <v>n.v.t.</v>
      </c>
      <c r="J1585" s="586"/>
      <c r="K1585" s="433">
        <f t="shared" si="128"/>
        <v>0</v>
      </c>
      <c r="L1585" s="433">
        <f t="shared" si="129"/>
        <v>0</v>
      </c>
      <c r="M1585" s="433">
        <f t="shared" si="130"/>
        <v>0</v>
      </c>
      <c r="N1585" s="672"/>
      <c r="O1585" s="729">
        <f>IF(N1585="",0,N1585*K1585/'9b-Vloeronderhoud'!$F$4)</f>
        <v>0</v>
      </c>
      <c r="P1585" s="672"/>
      <c r="Q1585" s="729" t="e">
        <f>IF(O1585="",0,P1585*L1585/'9b-Vloeronderhoud'!$F$6)</f>
        <v>#DIV/0!</v>
      </c>
      <c r="R1585" s="449">
        <v>1</v>
      </c>
      <c r="S1585" s="672" t="s">
        <v>179</v>
      </c>
      <c r="T1585" s="161">
        <f t="shared" si="126"/>
        <v>0</v>
      </c>
      <c r="U1585" s="162">
        <f>IF(S1585="nio",0,IF(S1585&gt;0,VLOOKUP(G1585,'3-Productie normen'!A:K,VLOOKUP(S1585,'3-Productie normen'!L:N,3,FALSE),FALSE)))</f>
        <v>0</v>
      </c>
      <c r="V1585" s="162">
        <f>VLOOKUP(G1585,'3-Productie normen'!A:K,10,FALSE)</f>
        <v>5262.809993648526</v>
      </c>
      <c r="W1585" s="163">
        <f>VLOOKUP(G1585,'3-Productie normen'!A:K,11,FALSE)</f>
        <v>0</v>
      </c>
      <c r="X1585" s="163"/>
      <c r="Z1585" s="129">
        <f t="shared" si="127"/>
        <v>0</v>
      </c>
    </row>
    <row r="1586" spans="1:26" ht="14.1" customHeight="1">
      <c r="A1586" s="144">
        <v>1624</v>
      </c>
      <c r="B1586" s="485" t="s">
        <v>239</v>
      </c>
      <c r="C1586" s="159" t="s">
        <v>631</v>
      </c>
      <c r="D1586" s="132" t="s">
        <v>98</v>
      </c>
      <c r="E1586" s="702"/>
      <c r="F1586" s="160" t="s">
        <v>614</v>
      </c>
      <c r="G1586" s="303" t="s">
        <v>480</v>
      </c>
      <c r="H1586" s="524" t="s">
        <v>100</v>
      </c>
      <c r="I1586" s="582" t="str">
        <f>VLOOKUP(H1586,'9a-Typen vloeren'!$A$10:$B$40,2,FALSE)</f>
        <v>Sprayen/ conserveren</v>
      </c>
      <c r="J1586" s="586">
        <v>2</v>
      </c>
      <c r="K1586" s="433">
        <f t="shared" si="128"/>
        <v>2</v>
      </c>
      <c r="L1586" s="433">
        <f t="shared" si="129"/>
        <v>0</v>
      </c>
      <c r="M1586" s="433">
        <f t="shared" si="130"/>
        <v>0</v>
      </c>
      <c r="N1586" s="672"/>
      <c r="O1586" s="729">
        <f>IF(N1586="",0,N1586*K1586/'9b-Vloeronderhoud'!$F$4)</f>
        <v>0</v>
      </c>
      <c r="P1586" s="672"/>
      <c r="Q1586" s="729" t="e">
        <f>IF(O1586="",0,P1586*L1586/'9b-Vloeronderhoud'!$F$6)</f>
        <v>#DIV/0!</v>
      </c>
      <c r="R1586" s="449">
        <v>1</v>
      </c>
      <c r="S1586" s="672">
        <v>40</v>
      </c>
      <c r="T1586" s="161" t="e">
        <f t="shared" si="126"/>
        <v>#DIV/0!</v>
      </c>
      <c r="U1586" s="162">
        <f>IF(S1586="nio",0,IF(S1586&gt;0,VLOOKUP(G1586,'3-Productie normen'!A:K,VLOOKUP(S1586,'3-Productie normen'!L:N,3,FALSE),FALSE)))</f>
        <v>0</v>
      </c>
      <c r="V1586" s="162">
        <f>VLOOKUP(G1586,'3-Productie normen'!A:K,10,FALSE)</f>
        <v>31.690000023841854</v>
      </c>
      <c r="W1586" s="163">
        <f>VLOOKUP(G1586,'3-Productie normen'!A:K,11,FALSE)</f>
        <v>0</v>
      </c>
      <c r="X1586" s="163"/>
      <c r="Z1586" s="129">
        <f t="shared" si="127"/>
        <v>80</v>
      </c>
    </row>
    <row r="1587" spans="1:26" ht="14.1" customHeight="1">
      <c r="A1587" s="144">
        <v>1625</v>
      </c>
      <c r="B1587" s="485" t="s">
        <v>239</v>
      </c>
      <c r="C1587" s="159" t="s">
        <v>631</v>
      </c>
      <c r="D1587" s="132" t="s">
        <v>98</v>
      </c>
      <c r="E1587" s="702">
        <v>37</v>
      </c>
      <c r="F1587" s="160" t="s">
        <v>221</v>
      </c>
      <c r="G1587" s="460" t="s">
        <v>221</v>
      </c>
      <c r="H1587" s="303" t="s">
        <v>332</v>
      </c>
      <c r="I1587" s="582" t="str">
        <f>VLOOKUP(H1587,'9a-Typen vloeren'!$A$10:$B$40,2,FALSE)</f>
        <v>Sproei/extraheren</v>
      </c>
      <c r="J1587" s="586">
        <v>54.3</v>
      </c>
      <c r="K1587" s="433">
        <f t="shared" si="128"/>
        <v>0</v>
      </c>
      <c r="L1587" s="433">
        <f t="shared" si="129"/>
        <v>0</v>
      </c>
      <c r="M1587" s="433">
        <f t="shared" si="130"/>
        <v>54.3</v>
      </c>
      <c r="N1587" s="672"/>
      <c r="O1587" s="729">
        <f>IF(N1587="",0,N1587*K1587/'9b-Vloeronderhoud'!$F$4)</f>
        <v>0</v>
      </c>
      <c r="P1587" s="672"/>
      <c r="Q1587" s="729" t="e">
        <f>IF(O1587="",0,P1587*L1587/'9b-Vloeronderhoud'!$F$6)</f>
        <v>#DIV/0!</v>
      </c>
      <c r="R1587" s="449">
        <v>1</v>
      </c>
      <c r="S1587" s="672">
        <v>80</v>
      </c>
      <c r="T1587" s="161" t="e">
        <f t="shared" si="126"/>
        <v>#DIV/0!</v>
      </c>
      <c r="U1587" s="162">
        <f>IF(S1587="nio",0,IF(S1587&gt;0,VLOOKUP(G1587,'3-Productie normen'!A:K,VLOOKUP(S1587,'3-Productie normen'!L:N,3,FALSE),FALSE)))</f>
        <v>0</v>
      </c>
      <c r="V1587" s="162">
        <f>VLOOKUP(G1587,'3-Productie normen'!A:K,10,FALSE)</f>
        <v>16013.110036668773</v>
      </c>
      <c r="W1587" s="163">
        <f>VLOOKUP(G1587,'3-Productie normen'!A:K,11,FALSE)</f>
        <v>0</v>
      </c>
      <c r="X1587" s="163"/>
      <c r="Z1587" s="129">
        <f t="shared" si="127"/>
        <v>4344</v>
      </c>
    </row>
    <row r="1588" spans="1:26" ht="14.1" customHeight="1">
      <c r="A1588" s="144">
        <v>1626</v>
      </c>
      <c r="B1588" s="485" t="s">
        <v>239</v>
      </c>
      <c r="C1588" s="159" t="s">
        <v>631</v>
      </c>
      <c r="D1588" s="132" t="s">
        <v>98</v>
      </c>
      <c r="E1588" s="702">
        <v>38</v>
      </c>
      <c r="F1588" s="160" t="s">
        <v>615</v>
      </c>
      <c r="G1588" s="4" t="s">
        <v>189</v>
      </c>
      <c r="H1588" s="303" t="s">
        <v>332</v>
      </c>
      <c r="I1588" s="582" t="str">
        <f>VLOOKUP(H1588,'9a-Typen vloeren'!$A$10:$B$40,2,FALSE)</f>
        <v>Sproei/extraheren</v>
      </c>
      <c r="J1588" s="586">
        <v>14.65</v>
      </c>
      <c r="K1588" s="433">
        <f t="shared" si="128"/>
        <v>0</v>
      </c>
      <c r="L1588" s="433">
        <f t="shared" si="129"/>
        <v>0</v>
      </c>
      <c r="M1588" s="433">
        <f t="shared" si="130"/>
        <v>14.65</v>
      </c>
      <c r="N1588" s="672"/>
      <c r="O1588" s="729">
        <f>IF(N1588="",0,N1588*K1588/'9b-Vloeronderhoud'!$F$4)</f>
        <v>0</v>
      </c>
      <c r="P1588" s="672"/>
      <c r="Q1588" s="729" t="e">
        <f>IF(O1588="",0,P1588*L1588/'9b-Vloeronderhoud'!$F$6)</f>
        <v>#DIV/0!</v>
      </c>
      <c r="R1588" s="449">
        <v>1</v>
      </c>
      <c r="S1588" s="672">
        <v>40</v>
      </c>
      <c r="T1588" s="161" t="e">
        <f t="shared" si="126"/>
        <v>#DIV/0!</v>
      </c>
      <c r="U1588" s="162">
        <f>IF(S1588="nio",0,IF(S1588&gt;0,VLOOKUP(G1588,'3-Productie normen'!A:K,VLOOKUP(S1588,'3-Productie normen'!L:N,3,FALSE),FALSE)))</f>
        <v>0</v>
      </c>
      <c r="V1588" s="162">
        <f>VLOOKUP(G1588,'3-Productie normen'!A:K,10,FALSE)</f>
        <v>1494.1700078582762</v>
      </c>
      <c r="W1588" s="163">
        <f>VLOOKUP(G1588,'3-Productie normen'!A:K,11,FALSE)</f>
        <v>0</v>
      </c>
      <c r="X1588" s="163"/>
      <c r="Z1588" s="129">
        <f t="shared" si="127"/>
        <v>586</v>
      </c>
    </row>
    <row r="1589" spans="1:26" ht="14.1" customHeight="1">
      <c r="A1589" s="144">
        <v>1627</v>
      </c>
      <c r="B1589" s="485" t="s">
        <v>239</v>
      </c>
      <c r="C1589" s="159" t="s">
        <v>631</v>
      </c>
      <c r="D1589" s="132" t="s">
        <v>98</v>
      </c>
      <c r="E1589" s="702" t="s">
        <v>616</v>
      </c>
      <c r="F1589" s="160" t="s">
        <v>615</v>
      </c>
      <c r="G1589" s="546" t="s">
        <v>189</v>
      </c>
      <c r="H1589" s="303" t="s">
        <v>332</v>
      </c>
      <c r="I1589" s="582" t="str">
        <f>VLOOKUP(H1589,'9a-Typen vloeren'!$A$10:$B$40,2,FALSE)</f>
        <v>Sproei/extraheren</v>
      </c>
      <c r="J1589" s="586">
        <v>22.56</v>
      </c>
      <c r="K1589" s="433">
        <f t="shared" si="128"/>
        <v>0</v>
      </c>
      <c r="L1589" s="433">
        <f t="shared" si="129"/>
        <v>0</v>
      </c>
      <c r="M1589" s="433">
        <f t="shared" si="130"/>
        <v>22.56</v>
      </c>
      <c r="N1589" s="672"/>
      <c r="O1589" s="729">
        <f>IF(N1589="",0,N1589*K1589/'9b-Vloeronderhoud'!$F$4)</f>
        <v>0</v>
      </c>
      <c r="P1589" s="672"/>
      <c r="Q1589" s="729" t="e">
        <f>IF(O1589="",0,P1589*L1589/'9b-Vloeronderhoud'!$F$6)</f>
        <v>#DIV/0!</v>
      </c>
      <c r="R1589" s="449">
        <v>1</v>
      </c>
      <c r="S1589" s="672">
        <v>40</v>
      </c>
      <c r="T1589" s="161" t="e">
        <f t="shared" si="126"/>
        <v>#DIV/0!</v>
      </c>
      <c r="U1589" s="162">
        <f>IF(S1589="nio",0,IF(S1589&gt;0,VLOOKUP(G1589,'3-Productie normen'!A:K,VLOOKUP(S1589,'3-Productie normen'!L:N,3,FALSE),FALSE)))</f>
        <v>0</v>
      </c>
      <c r="V1589" s="162">
        <f>VLOOKUP(G1589,'3-Productie normen'!A:K,10,FALSE)</f>
        <v>1494.1700078582762</v>
      </c>
      <c r="W1589" s="163">
        <f>VLOOKUP(G1589,'3-Productie normen'!A:K,11,FALSE)</f>
        <v>0</v>
      </c>
      <c r="X1589" s="163"/>
      <c r="Z1589" s="129">
        <f t="shared" si="127"/>
        <v>902.4</v>
      </c>
    </row>
    <row r="1590" spans="1:26" ht="14.1" customHeight="1">
      <c r="A1590" s="144">
        <v>1628</v>
      </c>
      <c r="B1590" s="485" t="s">
        <v>239</v>
      </c>
      <c r="C1590" s="159" t="s">
        <v>631</v>
      </c>
      <c r="D1590" s="132" t="s">
        <v>98</v>
      </c>
      <c r="E1590" s="702">
        <v>39</v>
      </c>
      <c r="F1590" s="160" t="s">
        <v>221</v>
      </c>
      <c r="G1590" s="303" t="s">
        <v>221</v>
      </c>
      <c r="H1590" s="524" t="s">
        <v>100</v>
      </c>
      <c r="I1590" s="582" t="str">
        <f>VLOOKUP(H1590,'9a-Typen vloeren'!$A$10:$B$40,2,FALSE)</f>
        <v>Sprayen/ conserveren</v>
      </c>
      <c r="J1590" s="586">
        <v>54.3</v>
      </c>
      <c r="K1590" s="433">
        <f t="shared" si="128"/>
        <v>54.3</v>
      </c>
      <c r="L1590" s="433">
        <f t="shared" si="129"/>
        <v>0</v>
      </c>
      <c r="M1590" s="433">
        <f t="shared" si="130"/>
        <v>0</v>
      </c>
      <c r="N1590" s="672"/>
      <c r="O1590" s="729">
        <f>IF(N1590="",0,N1590*K1590/'9b-Vloeronderhoud'!$F$4)</f>
        <v>0</v>
      </c>
      <c r="P1590" s="672"/>
      <c r="Q1590" s="729" t="e">
        <f>IF(O1590="",0,P1590*L1590/'9b-Vloeronderhoud'!$F$6)</f>
        <v>#DIV/0!</v>
      </c>
      <c r="R1590" s="449">
        <v>1</v>
      </c>
      <c r="S1590" s="672">
        <v>80</v>
      </c>
      <c r="T1590" s="161" t="e">
        <f t="shared" si="126"/>
        <v>#DIV/0!</v>
      </c>
      <c r="U1590" s="162">
        <f>IF(S1590="nio",0,IF(S1590&gt;0,VLOOKUP(G1590,'3-Productie normen'!A:K,VLOOKUP(S1590,'3-Productie normen'!L:N,3,FALSE),FALSE)))</f>
        <v>0</v>
      </c>
      <c r="V1590" s="162">
        <f>VLOOKUP(G1590,'3-Productie normen'!A:K,10,FALSE)</f>
        <v>16013.110036668773</v>
      </c>
      <c r="W1590" s="163">
        <f>VLOOKUP(G1590,'3-Productie normen'!A:K,11,FALSE)</f>
        <v>0</v>
      </c>
      <c r="X1590" s="163"/>
      <c r="Z1590" s="129">
        <f t="shared" si="127"/>
        <v>4344</v>
      </c>
    </row>
    <row r="1591" spans="1:26" ht="14.1" customHeight="1">
      <c r="A1591" s="144">
        <v>1629</v>
      </c>
      <c r="B1591" s="485" t="s">
        <v>239</v>
      </c>
      <c r="C1591" s="159" t="s">
        <v>631</v>
      </c>
      <c r="D1591" s="132" t="s">
        <v>98</v>
      </c>
      <c r="E1591" s="702">
        <v>40</v>
      </c>
      <c r="F1591" s="160" t="s">
        <v>617</v>
      </c>
      <c r="G1591" s="460" t="s">
        <v>881</v>
      </c>
      <c r="H1591" s="524" t="s">
        <v>100</v>
      </c>
      <c r="I1591" s="582" t="str">
        <f>VLOOKUP(H1591,'9a-Typen vloeren'!$A$10:$B$40,2,FALSE)</f>
        <v>Sprayen/ conserveren</v>
      </c>
      <c r="J1591" s="586">
        <v>50.31</v>
      </c>
      <c r="K1591" s="433">
        <f t="shared" si="128"/>
        <v>0</v>
      </c>
      <c r="L1591" s="433">
        <f t="shared" si="129"/>
        <v>0</v>
      </c>
      <c r="M1591" s="433">
        <f t="shared" si="130"/>
        <v>0</v>
      </c>
      <c r="N1591" s="672"/>
      <c r="O1591" s="729">
        <f>IF(N1591="",0,N1591*K1591/'9b-Vloeronderhoud'!$F$4)</f>
        <v>0</v>
      </c>
      <c r="P1591" s="672"/>
      <c r="Q1591" s="729" t="e">
        <f>IF(O1591="",0,P1591*L1591/'9b-Vloeronderhoud'!$F$6)</f>
        <v>#DIV/0!</v>
      </c>
      <c r="R1591" s="449">
        <v>1</v>
      </c>
      <c r="S1591" s="672" t="s">
        <v>179</v>
      </c>
      <c r="T1591" s="161">
        <f t="shared" si="126"/>
        <v>0</v>
      </c>
      <c r="U1591" s="162">
        <f>IF(S1591="nio",0,IF(S1591&gt;0,VLOOKUP(G1591,'3-Productie normen'!A:K,VLOOKUP(S1591,'3-Productie normen'!L:N,3,FALSE),FALSE)))</f>
        <v>0</v>
      </c>
      <c r="V1591" s="162">
        <f>VLOOKUP(G1591,'3-Productie normen'!A:K,10,FALSE)</f>
        <v>5262.809993648526</v>
      </c>
      <c r="W1591" s="163">
        <f>VLOOKUP(G1591,'3-Productie normen'!A:K,11,FALSE)</f>
        <v>0</v>
      </c>
      <c r="X1591" s="163"/>
      <c r="Z1591" s="129">
        <f t="shared" si="127"/>
        <v>0</v>
      </c>
    </row>
    <row r="1592" spans="1:26" ht="14.1" customHeight="1">
      <c r="A1592" s="144">
        <v>1630</v>
      </c>
      <c r="B1592" s="485" t="s">
        <v>239</v>
      </c>
      <c r="C1592" s="159" t="s">
        <v>631</v>
      </c>
      <c r="D1592" s="132" t="s">
        <v>98</v>
      </c>
      <c r="E1592" s="702">
        <v>41</v>
      </c>
      <c r="F1592" s="494" t="s">
        <v>287</v>
      </c>
      <c r="G1592" s="460" t="s">
        <v>287</v>
      </c>
      <c r="H1592" s="524" t="s">
        <v>100</v>
      </c>
      <c r="I1592" s="582" t="str">
        <f>VLOOKUP(H1592,'9a-Typen vloeren'!$A$10:$B$40,2,FALSE)</f>
        <v>Sprayen/ conserveren</v>
      </c>
      <c r="J1592" s="586">
        <v>7.67</v>
      </c>
      <c r="K1592" s="433">
        <f t="shared" si="128"/>
        <v>7.67</v>
      </c>
      <c r="L1592" s="433">
        <f t="shared" si="129"/>
        <v>0</v>
      </c>
      <c r="M1592" s="433">
        <f t="shared" si="130"/>
        <v>0</v>
      </c>
      <c r="N1592" s="672"/>
      <c r="O1592" s="729">
        <f>IF(N1592="",0,N1592*K1592/'9b-Vloeronderhoud'!$F$4)</f>
        <v>0</v>
      </c>
      <c r="P1592" s="672"/>
      <c r="Q1592" s="729" t="e">
        <f>IF(O1592="",0,P1592*L1592/'9b-Vloeronderhoud'!$F$6)</f>
        <v>#DIV/0!</v>
      </c>
      <c r="R1592" s="449">
        <v>1</v>
      </c>
      <c r="S1592" s="672">
        <v>80</v>
      </c>
      <c r="T1592" s="161" t="e">
        <f t="shared" si="126"/>
        <v>#DIV/0!</v>
      </c>
      <c r="U1592" s="162">
        <f>IF(S1592="nio",0,IF(S1592&gt;0,VLOOKUP(G1592,'3-Productie normen'!A:K,VLOOKUP(S1592,'3-Productie normen'!L:N,3,FALSE),FALSE)))</f>
        <v>0</v>
      </c>
      <c r="V1592" s="162">
        <f>VLOOKUP(G1592,'3-Productie normen'!A:K,10,FALSE)</f>
        <v>519.460002565384</v>
      </c>
      <c r="W1592" s="163">
        <f>VLOOKUP(G1592,'3-Productie normen'!A:K,11,FALSE)</f>
        <v>0</v>
      </c>
      <c r="X1592" s="163"/>
      <c r="Z1592" s="129">
        <f t="shared" si="127"/>
        <v>613.6</v>
      </c>
    </row>
    <row r="1593" spans="1:26" ht="14.1" customHeight="1">
      <c r="A1593" s="144">
        <v>1631</v>
      </c>
      <c r="B1593" s="485" t="s">
        <v>239</v>
      </c>
      <c r="C1593" s="159" t="s">
        <v>631</v>
      </c>
      <c r="D1593" s="132" t="s">
        <v>98</v>
      </c>
      <c r="E1593" s="702">
        <v>42</v>
      </c>
      <c r="F1593" s="160" t="s">
        <v>281</v>
      </c>
      <c r="G1593" s="460" t="s">
        <v>881</v>
      </c>
      <c r="H1593" s="524" t="s">
        <v>333</v>
      </c>
      <c r="I1593" s="582" t="str">
        <f>VLOOKUP(H1593,'9a-Typen vloeren'!$A$10:$B$40,2,FALSE)</f>
        <v>Schrobben</v>
      </c>
      <c r="J1593" s="586">
        <v>2.88</v>
      </c>
      <c r="K1593" s="433">
        <f t="shared" si="128"/>
        <v>0</v>
      </c>
      <c r="L1593" s="433">
        <f t="shared" si="129"/>
        <v>0</v>
      </c>
      <c r="M1593" s="433">
        <f t="shared" si="130"/>
        <v>0</v>
      </c>
      <c r="N1593" s="672"/>
      <c r="O1593" s="729">
        <f>IF(N1593="",0,N1593*K1593/'9b-Vloeronderhoud'!$F$4)</f>
        <v>0</v>
      </c>
      <c r="P1593" s="672"/>
      <c r="Q1593" s="729" t="e">
        <f>IF(O1593="",0,P1593*L1593/'9b-Vloeronderhoud'!$F$6)</f>
        <v>#DIV/0!</v>
      </c>
      <c r="R1593" s="449">
        <v>1</v>
      </c>
      <c r="S1593" s="672" t="s">
        <v>179</v>
      </c>
      <c r="T1593" s="161">
        <f t="shared" si="126"/>
        <v>0</v>
      </c>
      <c r="U1593" s="162">
        <f>IF(S1593="nio",0,IF(S1593&gt;0,VLOOKUP(G1593,'3-Productie normen'!A:K,VLOOKUP(S1593,'3-Productie normen'!L:N,3,FALSE),FALSE)))</f>
        <v>0</v>
      </c>
      <c r="V1593" s="162">
        <f>VLOOKUP(G1593,'3-Productie normen'!A:K,10,FALSE)</f>
        <v>5262.809993648526</v>
      </c>
      <c r="W1593" s="163">
        <f>VLOOKUP(G1593,'3-Productie normen'!A:K,11,FALSE)</f>
        <v>0</v>
      </c>
      <c r="X1593" s="163"/>
      <c r="Z1593" s="129">
        <f t="shared" si="127"/>
        <v>0</v>
      </c>
    </row>
    <row r="1594" spans="1:26" ht="14.1" customHeight="1">
      <c r="A1594" s="144">
        <v>1632</v>
      </c>
      <c r="B1594" s="485" t="s">
        <v>239</v>
      </c>
      <c r="C1594" s="159" t="s">
        <v>631</v>
      </c>
      <c r="D1594" s="132" t="s">
        <v>98</v>
      </c>
      <c r="E1594" s="702">
        <v>43</v>
      </c>
      <c r="F1594" s="160" t="s">
        <v>221</v>
      </c>
      <c r="G1594" s="546" t="s">
        <v>221</v>
      </c>
      <c r="H1594" s="303" t="s">
        <v>332</v>
      </c>
      <c r="I1594" s="582" t="str">
        <f>VLOOKUP(H1594,'9a-Typen vloeren'!$A$10:$B$40,2,FALSE)</f>
        <v>Sproei/extraheren</v>
      </c>
      <c r="J1594" s="586">
        <v>51.03</v>
      </c>
      <c r="K1594" s="433">
        <f t="shared" si="128"/>
        <v>0</v>
      </c>
      <c r="L1594" s="433">
        <f t="shared" si="129"/>
        <v>0</v>
      </c>
      <c r="M1594" s="433">
        <f t="shared" si="130"/>
        <v>51.03</v>
      </c>
      <c r="N1594" s="672"/>
      <c r="O1594" s="729">
        <f>IF(N1594="",0,N1594*K1594/'9b-Vloeronderhoud'!$F$4)</f>
        <v>0</v>
      </c>
      <c r="P1594" s="672"/>
      <c r="Q1594" s="729" t="e">
        <f>IF(O1594="",0,P1594*L1594/'9b-Vloeronderhoud'!$F$6)</f>
        <v>#DIV/0!</v>
      </c>
      <c r="R1594" s="449">
        <v>1</v>
      </c>
      <c r="S1594" s="688" t="s">
        <v>179</v>
      </c>
      <c r="T1594" s="161">
        <f t="shared" si="126"/>
        <v>0</v>
      </c>
      <c r="U1594" s="162">
        <f>IF(S1594="nio",0,IF(S1594&gt;0,VLOOKUP(G1594,'3-Productie normen'!A:K,VLOOKUP(S1594,'3-Productie normen'!L:N,3,FALSE),FALSE)))</f>
        <v>0</v>
      </c>
      <c r="V1594" s="162">
        <f>VLOOKUP(G1594,'3-Productie normen'!A:K,10,FALSE)</f>
        <v>16013.110036668773</v>
      </c>
      <c r="W1594" s="163">
        <f>VLOOKUP(G1594,'3-Productie normen'!A:K,11,FALSE)</f>
        <v>0</v>
      </c>
      <c r="X1594" s="163"/>
      <c r="Z1594" s="129">
        <f t="shared" si="127"/>
        <v>0</v>
      </c>
    </row>
    <row r="1595" spans="1:26" ht="14.1" customHeight="1">
      <c r="A1595" s="144">
        <v>1633</v>
      </c>
      <c r="B1595" s="485" t="s">
        <v>239</v>
      </c>
      <c r="C1595" s="159" t="s">
        <v>631</v>
      </c>
      <c r="D1595" s="132" t="s">
        <v>98</v>
      </c>
      <c r="E1595" s="702">
        <v>44</v>
      </c>
      <c r="F1595" s="160" t="s">
        <v>606</v>
      </c>
      <c r="G1595" s="460" t="s">
        <v>881</v>
      </c>
      <c r="H1595" s="524" t="s">
        <v>100</v>
      </c>
      <c r="I1595" s="582" t="str">
        <f>VLOOKUP(H1595,'9a-Typen vloeren'!$A$10:$B$40,2,FALSE)</f>
        <v>Sprayen/ conserveren</v>
      </c>
      <c r="J1595" s="586">
        <v>1.48</v>
      </c>
      <c r="K1595" s="433">
        <f t="shared" si="128"/>
        <v>0</v>
      </c>
      <c r="L1595" s="433">
        <f t="shared" si="129"/>
        <v>0</v>
      </c>
      <c r="M1595" s="433">
        <f t="shared" si="130"/>
        <v>0</v>
      </c>
      <c r="N1595" s="672"/>
      <c r="O1595" s="729">
        <f>IF(N1595="",0,N1595*K1595/'9b-Vloeronderhoud'!$F$4)</f>
        <v>0</v>
      </c>
      <c r="P1595" s="672"/>
      <c r="Q1595" s="729" t="e">
        <f>IF(O1595="",0,P1595*L1595/'9b-Vloeronderhoud'!$F$6)</f>
        <v>#DIV/0!</v>
      </c>
      <c r="R1595" s="449">
        <v>1</v>
      </c>
      <c r="S1595" s="672" t="s">
        <v>179</v>
      </c>
      <c r="T1595" s="161">
        <f t="shared" si="126"/>
        <v>0</v>
      </c>
      <c r="U1595" s="162">
        <f>IF(S1595="nio",0,IF(S1595&gt;0,VLOOKUP(G1595,'3-Productie normen'!A:K,VLOOKUP(S1595,'3-Productie normen'!L:N,3,FALSE),FALSE)))</f>
        <v>0</v>
      </c>
      <c r="V1595" s="162">
        <f>VLOOKUP(G1595,'3-Productie normen'!A:K,10,FALSE)</f>
        <v>5262.809993648526</v>
      </c>
      <c r="W1595" s="163">
        <f>VLOOKUP(G1595,'3-Productie normen'!A:K,11,FALSE)</f>
        <v>0</v>
      </c>
      <c r="X1595" s="163"/>
      <c r="Z1595" s="129">
        <f t="shared" si="127"/>
        <v>0</v>
      </c>
    </row>
    <row r="1596" spans="1:26" ht="14.1" customHeight="1">
      <c r="A1596" s="144">
        <v>1634</v>
      </c>
      <c r="B1596" s="485" t="s">
        <v>239</v>
      </c>
      <c r="C1596" s="159" t="s">
        <v>631</v>
      </c>
      <c r="D1596" s="132" t="s">
        <v>98</v>
      </c>
      <c r="E1596" s="702">
        <v>45</v>
      </c>
      <c r="F1596" s="160" t="s">
        <v>283</v>
      </c>
      <c r="G1596" s="303" t="s">
        <v>286</v>
      </c>
      <c r="H1596" s="524" t="s">
        <v>100</v>
      </c>
      <c r="I1596" s="582" t="str">
        <f>VLOOKUP(H1596,'9a-Typen vloeren'!$A$10:$B$40,2,FALSE)</f>
        <v>Sprayen/ conserveren</v>
      </c>
      <c r="J1596" s="586">
        <v>74.69</v>
      </c>
      <c r="K1596" s="433">
        <f t="shared" si="128"/>
        <v>74.69</v>
      </c>
      <c r="L1596" s="433">
        <f t="shared" si="129"/>
        <v>0</v>
      </c>
      <c r="M1596" s="433">
        <f t="shared" si="130"/>
        <v>0</v>
      </c>
      <c r="N1596" s="672">
        <v>2</v>
      </c>
      <c r="O1596" s="729" t="e">
        <f>IF(N1596="",0,N1596*K1596/'9b-Vloeronderhoud'!$F$4)</f>
        <v>#DIV/0!</v>
      </c>
      <c r="P1596" s="672"/>
      <c r="Q1596" s="729" t="e">
        <f>IF(O1596="",0,P1596*L1596/'9b-Vloeronderhoud'!$F$6)</f>
        <v>#DIV/0!</v>
      </c>
      <c r="R1596" s="449">
        <v>1</v>
      </c>
      <c r="S1596" s="672">
        <v>120</v>
      </c>
      <c r="T1596" s="161" t="e">
        <f t="shared" si="126"/>
        <v>#DIV/0!</v>
      </c>
      <c r="U1596" s="162">
        <f>IF(S1596="nio",0,IF(S1596&gt;0,VLOOKUP(G1596,'3-Productie normen'!A:K,VLOOKUP(S1596,'3-Productie normen'!L:N,3,FALSE),FALSE)))</f>
        <v>0</v>
      </c>
      <c r="V1596" s="162">
        <f>VLOOKUP(G1596,'3-Productie normen'!A:K,10,FALSE)</f>
        <v>6152.9500017547598</v>
      </c>
      <c r="W1596" s="163">
        <f>VLOOKUP(G1596,'3-Productie normen'!A:K,11,FALSE)</f>
        <v>0</v>
      </c>
      <c r="X1596" s="163"/>
      <c r="Z1596" s="129">
        <f t="shared" si="127"/>
        <v>8962.7999999999993</v>
      </c>
    </row>
    <row r="1597" spans="1:26" ht="14.1" customHeight="1">
      <c r="A1597" s="144">
        <v>1635</v>
      </c>
      <c r="B1597" s="485" t="s">
        <v>239</v>
      </c>
      <c r="C1597" s="159" t="s">
        <v>631</v>
      </c>
      <c r="D1597" s="132" t="s">
        <v>98</v>
      </c>
      <c r="E1597" s="702">
        <v>46</v>
      </c>
      <c r="F1597" s="160" t="s">
        <v>618</v>
      </c>
      <c r="G1597" s="460" t="s">
        <v>881</v>
      </c>
      <c r="H1597" s="524" t="s">
        <v>100</v>
      </c>
      <c r="I1597" s="582" t="str">
        <f>VLOOKUP(H1597,'9a-Typen vloeren'!$A$10:$B$40,2,FALSE)</f>
        <v>Sprayen/ conserveren</v>
      </c>
      <c r="J1597" s="586">
        <v>51.8</v>
      </c>
      <c r="K1597" s="433">
        <f t="shared" si="128"/>
        <v>0</v>
      </c>
      <c r="L1597" s="433">
        <f t="shared" si="129"/>
        <v>0</v>
      </c>
      <c r="M1597" s="433">
        <f t="shared" si="130"/>
        <v>0</v>
      </c>
      <c r="N1597" s="672"/>
      <c r="O1597" s="729">
        <f>IF(N1597="",0,N1597*K1597/'9b-Vloeronderhoud'!$F$4)</f>
        <v>0</v>
      </c>
      <c r="P1597" s="672"/>
      <c r="Q1597" s="729" t="e">
        <f>IF(O1597="",0,P1597*L1597/'9b-Vloeronderhoud'!$F$6)</f>
        <v>#DIV/0!</v>
      </c>
      <c r="R1597" s="449">
        <v>1</v>
      </c>
      <c r="S1597" s="672" t="s">
        <v>179</v>
      </c>
      <c r="T1597" s="161">
        <f t="shared" si="126"/>
        <v>0</v>
      </c>
      <c r="U1597" s="162">
        <f>IF(S1597="nio",0,IF(S1597&gt;0,VLOOKUP(G1597,'3-Productie normen'!A:K,VLOOKUP(S1597,'3-Productie normen'!L:N,3,FALSE),FALSE)))</f>
        <v>0</v>
      </c>
      <c r="V1597" s="162">
        <f>VLOOKUP(G1597,'3-Productie normen'!A:K,10,FALSE)</f>
        <v>5262.809993648526</v>
      </c>
      <c r="W1597" s="163">
        <f>VLOOKUP(G1597,'3-Productie normen'!A:K,11,FALSE)</f>
        <v>0</v>
      </c>
      <c r="X1597" s="163"/>
      <c r="Z1597" s="129">
        <f t="shared" si="127"/>
        <v>0</v>
      </c>
    </row>
    <row r="1598" spans="1:26" ht="14.1" customHeight="1">
      <c r="A1598" s="144">
        <v>1636</v>
      </c>
      <c r="B1598" s="485" t="s">
        <v>239</v>
      </c>
      <c r="C1598" s="159" t="s">
        <v>631</v>
      </c>
      <c r="D1598" s="132" t="s">
        <v>98</v>
      </c>
      <c r="E1598" s="702">
        <v>47</v>
      </c>
      <c r="F1598" s="126" t="s">
        <v>402</v>
      </c>
      <c r="G1598" s="303" t="s">
        <v>18</v>
      </c>
      <c r="H1598" s="303" t="s">
        <v>955</v>
      </c>
      <c r="I1598" s="582" t="str">
        <f>VLOOKUP(H1598,'9a-Typen vloeren'!$A$10:$B$40,2,FALSE)</f>
        <v>zie kwaliteitsontwerp</v>
      </c>
      <c r="J1598" s="586">
        <v>5.57</v>
      </c>
      <c r="K1598" s="433">
        <f t="shared" si="128"/>
        <v>0</v>
      </c>
      <c r="L1598" s="433">
        <f t="shared" si="129"/>
        <v>0</v>
      </c>
      <c r="M1598" s="433">
        <f t="shared" si="130"/>
        <v>0</v>
      </c>
      <c r="N1598" s="672"/>
      <c r="O1598" s="729">
        <f>IF(N1598="",0,N1598*K1598/'9b-Vloeronderhoud'!$F$4)</f>
        <v>0</v>
      </c>
      <c r="P1598" s="672"/>
      <c r="Q1598" s="729" t="e">
        <f>IF(O1598="",0,P1598*L1598/'9b-Vloeronderhoud'!$F$6)</f>
        <v>#DIV/0!</v>
      </c>
      <c r="R1598" s="449">
        <v>1</v>
      </c>
      <c r="S1598" s="672">
        <v>190</v>
      </c>
      <c r="T1598" s="161" t="e">
        <f t="shared" si="126"/>
        <v>#DIV/0!</v>
      </c>
      <c r="U1598" s="162">
        <f>IF(S1598="nio",0,IF(S1598&gt;0,VLOOKUP(G1598,'3-Productie normen'!A:K,VLOOKUP(S1598,'3-Productie normen'!L:N,3,FALSE),FALSE)))</f>
        <v>0</v>
      </c>
      <c r="V1598" s="162">
        <f>VLOOKUP(G1598,'3-Productie normen'!A:K,10,FALSE)</f>
        <v>1859.5880019121171</v>
      </c>
      <c r="W1598" s="163">
        <f>VLOOKUP(G1598,'3-Productie normen'!A:K,11,FALSE)</f>
        <v>0</v>
      </c>
      <c r="X1598" s="163"/>
      <c r="Z1598" s="129">
        <f t="shared" si="127"/>
        <v>1058.3</v>
      </c>
    </row>
    <row r="1599" spans="1:26" ht="14.1" customHeight="1">
      <c r="A1599" s="144">
        <v>1637</v>
      </c>
      <c r="B1599" s="485" t="s">
        <v>239</v>
      </c>
      <c r="C1599" s="159" t="s">
        <v>631</v>
      </c>
      <c r="D1599" s="132" t="s">
        <v>98</v>
      </c>
      <c r="E1599" s="702">
        <v>48</v>
      </c>
      <c r="F1599" s="160" t="s">
        <v>282</v>
      </c>
      <c r="G1599" s="460" t="s">
        <v>881</v>
      </c>
      <c r="H1599" s="524" t="s">
        <v>100</v>
      </c>
      <c r="I1599" s="582" t="str">
        <f>VLOOKUP(H1599,'9a-Typen vloeren'!$A$10:$B$40,2,FALSE)</f>
        <v>Sprayen/ conserveren</v>
      </c>
      <c r="J1599" s="586">
        <v>15.21</v>
      </c>
      <c r="K1599" s="433">
        <f t="shared" si="128"/>
        <v>0</v>
      </c>
      <c r="L1599" s="433">
        <f t="shared" si="129"/>
        <v>0</v>
      </c>
      <c r="M1599" s="433">
        <f t="shared" si="130"/>
        <v>0</v>
      </c>
      <c r="N1599" s="672"/>
      <c r="O1599" s="729">
        <f>IF(N1599="",0,N1599*K1599/'9b-Vloeronderhoud'!$F$4)</f>
        <v>0</v>
      </c>
      <c r="P1599" s="672"/>
      <c r="Q1599" s="729" t="e">
        <f>IF(O1599="",0,P1599*L1599/'9b-Vloeronderhoud'!$F$6)</f>
        <v>#DIV/0!</v>
      </c>
      <c r="R1599" s="449">
        <v>1</v>
      </c>
      <c r="S1599" s="672" t="s">
        <v>179</v>
      </c>
      <c r="T1599" s="161">
        <f t="shared" si="126"/>
        <v>0</v>
      </c>
      <c r="U1599" s="162">
        <f>IF(S1599="nio",0,IF(S1599&gt;0,VLOOKUP(G1599,'3-Productie normen'!A:K,VLOOKUP(S1599,'3-Productie normen'!L:N,3,FALSE),FALSE)))</f>
        <v>0</v>
      </c>
      <c r="V1599" s="162">
        <f>VLOOKUP(G1599,'3-Productie normen'!A:K,10,FALSE)</f>
        <v>5262.809993648526</v>
      </c>
      <c r="W1599" s="163">
        <f>VLOOKUP(G1599,'3-Productie normen'!A:K,11,FALSE)</f>
        <v>0</v>
      </c>
      <c r="X1599" s="163"/>
      <c r="Z1599" s="129">
        <f t="shared" si="127"/>
        <v>0</v>
      </c>
    </row>
    <row r="1600" spans="1:26" ht="14.1" customHeight="1">
      <c r="A1600" s="144">
        <v>1638</v>
      </c>
      <c r="B1600" s="485" t="s">
        <v>239</v>
      </c>
      <c r="C1600" s="159" t="s">
        <v>631</v>
      </c>
      <c r="D1600" s="132" t="s">
        <v>98</v>
      </c>
      <c r="E1600" s="702">
        <v>49</v>
      </c>
      <c r="F1600" s="160" t="s">
        <v>619</v>
      </c>
      <c r="G1600" s="460" t="s">
        <v>18</v>
      </c>
      <c r="H1600" s="303" t="s">
        <v>955</v>
      </c>
      <c r="I1600" s="582" t="str">
        <f>VLOOKUP(H1600,'9a-Typen vloeren'!$A$10:$B$40,2,FALSE)</f>
        <v>zie kwaliteitsontwerp</v>
      </c>
      <c r="J1600" s="586">
        <v>1.76</v>
      </c>
      <c r="K1600" s="433">
        <f t="shared" si="128"/>
        <v>0</v>
      </c>
      <c r="L1600" s="433">
        <f t="shared" si="129"/>
        <v>0</v>
      </c>
      <c r="M1600" s="433">
        <f t="shared" si="130"/>
        <v>0</v>
      </c>
      <c r="N1600" s="672"/>
      <c r="O1600" s="729">
        <f>IF(N1600="",0,N1600*K1600/'9b-Vloeronderhoud'!$F$4)</f>
        <v>0</v>
      </c>
      <c r="P1600" s="672"/>
      <c r="Q1600" s="729" t="e">
        <f>IF(O1600="",0,P1600*L1600/'9b-Vloeronderhoud'!$F$6)</f>
        <v>#DIV/0!</v>
      </c>
      <c r="R1600" s="449">
        <v>1</v>
      </c>
      <c r="S1600" s="672">
        <v>190</v>
      </c>
      <c r="T1600" s="161" t="e">
        <f t="shared" si="126"/>
        <v>#DIV/0!</v>
      </c>
      <c r="U1600" s="162">
        <f>IF(S1600="nio",0,IF(S1600&gt;0,VLOOKUP(G1600,'3-Productie normen'!A:K,VLOOKUP(S1600,'3-Productie normen'!L:N,3,FALSE),FALSE)))</f>
        <v>0</v>
      </c>
      <c r="V1600" s="162">
        <f>VLOOKUP(G1600,'3-Productie normen'!A:K,10,FALSE)</f>
        <v>1859.5880019121171</v>
      </c>
      <c r="W1600" s="163">
        <f>VLOOKUP(G1600,'3-Productie normen'!A:K,11,FALSE)</f>
        <v>0</v>
      </c>
      <c r="X1600" s="163"/>
      <c r="Z1600" s="129">
        <f t="shared" si="127"/>
        <v>334.4</v>
      </c>
    </row>
    <row r="1601" spans="1:26" ht="14.1" customHeight="1">
      <c r="A1601" s="144">
        <v>1639</v>
      </c>
      <c r="B1601" s="485" t="s">
        <v>239</v>
      </c>
      <c r="C1601" s="159" t="s">
        <v>631</v>
      </c>
      <c r="D1601" s="132" t="s">
        <v>98</v>
      </c>
      <c r="E1601" s="702">
        <v>50</v>
      </c>
      <c r="F1601" s="160" t="s">
        <v>267</v>
      </c>
      <c r="G1601" s="303" t="s">
        <v>18</v>
      </c>
      <c r="H1601" s="303" t="s">
        <v>955</v>
      </c>
      <c r="I1601" s="582" t="str">
        <f>VLOOKUP(H1601,'9a-Typen vloeren'!$A$10:$B$40,2,FALSE)</f>
        <v>zie kwaliteitsontwerp</v>
      </c>
      <c r="J1601" s="586">
        <v>1.76</v>
      </c>
      <c r="K1601" s="433">
        <f t="shared" si="128"/>
        <v>0</v>
      </c>
      <c r="L1601" s="433">
        <f t="shared" si="129"/>
        <v>0</v>
      </c>
      <c r="M1601" s="433">
        <f t="shared" si="130"/>
        <v>0</v>
      </c>
      <c r="N1601" s="672"/>
      <c r="O1601" s="729">
        <f>IF(N1601="",0,N1601*K1601/'9b-Vloeronderhoud'!$F$4)</f>
        <v>0</v>
      </c>
      <c r="P1601" s="672"/>
      <c r="Q1601" s="729" t="e">
        <f>IF(O1601="",0,P1601*L1601/'9b-Vloeronderhoud'!$F$6)</f>
        <v>#DIV/0!</v>
      </c>
      <c r="R1601" s="449">
        <v>1</v>
      </c>
      <c r="S1601" s="672">
        <v>190</v>
      </c>
      <c r="T1601" s="161" t="e">
        <f t="shared" si="126"/>
        <v>#DIV/0!</v>
      </c>
      <c r="U1601" s="162">
        <f>IF(S1601="nio",0,IF(S1601&gt;0,VLOOKUP(G1601,'3-Productie normen'!A:K,VLOOKUP(S1601,'3-Productie normen'!L:N,3,FALSE),FALSE)))</f>
        <v>0</v>
      </c>
      <c r="V1601" s="162">
        <f>VLOOKUP(G1601,'3-Productie normen'!A:K,10,FALSE)</f>
        <v>1859.5880019121171</v>
      </c>
      <c r="W1601" s="163">
        <f>VLOOKUP(G1601,'3-Productie normen'!A:K,11,FALSE)</f>
        <v>0</v>
      </c>
      <c r="X1601" s="163"/>
      <c r="Z1601" s="129">
        <f t="shared" si="127"/>
        <v>334.4</v>
      </c>
    </row>
    <row r="1602" spans="1:26" ht="14.1" customHeight="1">
      <c r="A1602" s="144">
        <v>1640</v>
      </c>
      <c r="B1602" s="485" t="s">
        <v>239</v>
      </c>
      <c r="C1602" s="159" t="s">
        <v>631</v>
      </c>
      <c r="D1602" s="132" t="s">
        <v>98</v>
      </c>
      <c r="E1602" s="702">
        <v>51</v>
      </c>
      <c r="F1602" s="160" t="s">
        <v>285</v>
      </c>
      <c r="G1602" s="4" t="s">
        <v>285</v>
      </c>
      <c r="H1602" s="524" t="s">
        <v>100</v>
      </c>
      <c r="I1602" s="582" t="str">
        <f>VLOOKUP(H1602,'9a-Typen vloeren'!$A$10:$B$40,2,FALSE)</f>
        <v>Sprayen/ conserveren</v>
      </c>
      <c r="J1602" s="586">
        <v>60.14</v>
      </c>
      <c r="K1602" s="433">
        <f t="shared" si="128"/>
        <v>60.14</v>
      </c>
      <c r="L1602" s="433">
        <f t="shared" si="129"/>
        <v>0</v>
      </c>
      <c r="M1602" s="433">
        <f t="shared" si="130"/>
        <v>0</v>
      </c>
      <c r="N1602" s="672"/>
      <c r="O1602" s="729">
        <f>IF(N1602="",0,N1602*K1602/'9b-Vloeronderhoud'!$F$4)</f>
        <v>0</v>
      </c>
      <c r="P1602" s="672"/>
      <c r="Q1602" s="729" t="e">
        <f>IF(O1602="",0,P1602*L1602/'9b-Vloeronderhoud'!$F$6)</f>
        <v>#DIV/0!</v>
      </c>
      <c r="R1602" s="449">
        <v>1</v>
      </c>
      <c r="S1602" s="672">
        <v>190</v>
      </c>
      <c r="T1602" s="161" t="e">
        <f t="shared" si="126"/>
        <v>#DIV/0!</v>
      </c>
      <c r="U1602" s="162">
        <f>IF(S1602="nio",0,IF(S1602&gt;0,VLOOKUP(G1602,'3-Productie normen'!A:K,VLOOKUP(S1602,'3-Productie normen'!L:N,3,FALSE),FALSE)))</f>
        <v>0</v>
      </c>
      <c r="V1602" s="162">
        <f>VLOOKUP(G1602,'3-Productie normen'!A:K,10,FALSE)</f>
        <v>3305.8200070953367</v>
      </c>
      <c r="W1602" s="163">
        <f>VLOOKUP(G1602,'3-Productie normen'!A:K,11,FALSE)</f>
        <v>0</v>
      </c>
      <c r="X1602" s="163"/>
      <c r="Z1602" s="129">
        <f t="shared" si="127"/>
        <v>11426.6</v>
      </c>
    </row>
    <row r="1603" spans="1:26" ht="14.1" customHeight="1">
      <c r="A1603" s="144">
        <v>1641</v>
      </c>
      <c r="B1603" s="485" t="s">
        <v>239</v>
      </c>
      <c r="C1603" s="159" t="s">
        <v>631</v>
      </c>
      <c r="D1603" s="132" t="s">
        <v>98</v>
      </c>
      <c r="E1603" s="702">
        <v>52</v>
      </c>
      <c r="F1603" s="160" t="s">
        <v>402</v>
      </c>
      <c r="G1603" s="303" t="s">
        <v>18</v>
      </c>
      <c r="H1603" s="303" t="s">
        <v>955</v>
      </c>
      <c r="I1603" s="582" t="str">
        <f>VLOOKUP(H1603,'9a-Typen vloeren'!$A$10:$B$40,2,FALSE)</f>
        <v>zie kwaliteitsontwerp</v>
      </c>
      <c r="J1603" s="586">
        <v>9.11</v>
      </c>
      <c r="K1603" s="433">
        <f t="shared" si="128"/>
        <v>0</v>
      </c>
      <c r="L1603" s="433">
        <f t="shared" si="129"/>
        <v>0</v>
      </c>
      <c r="M1603" s="433">
        <f t="shared" si="130"/>
        <v>0</v>
      </c>
      <c r="N1603" s="672"/>
      <c r="O1603" s="729">
        <f>IF(N1603="",0,N1603*K1603/'9b-Vloeronderhoud'!$F$4)</f>
        <v>0</v>
      </c>
      <c r="P1603" s="672"/>
      <c r="Q1603" s="729" t="e">
        <f>IF(O1603="",0,P1603*L1603/'9b-Vloeronderhoud'!$F$6)</f>
        <v>#DIV/0!</v>
      </c>
      <c r="R1603" s="449">
        <v>1</v>
      </c>
      <c r="S1603" s="672">
        <v>190</v>
      </c>
      <c r="T1603" s="161" t="e">
        <f t="shared" si="126"/>
        <v>#DIV/0!</v>
      </c>
      <c r="U1603" s="162">
        <f>IF(S1603="nio",0,IF(S1603&gt;0,VLOOKUP(G1603,'3-Productie normen'!A:K,VLOOKUP(S1603,'3-Productie normen'!L:N,3,FALSE),FALSE)))</f>
        <v>0</v>
      </c>
      <c r="V1603" s="162">
        <f>VLOOKUP(G1603,'3-Productie normen'!A:K,10,FALSE)</f>
        <v>1859.5880019121171</v>
      </c>
      <c r="W1603" s="163">
        <f>VLOOKUP(G1603,'3-Productie normen'!A:K,11,FALSE)</f>
        <v>0</v>
      </c>
      <c r="X1603" s="163"/>
      <c r="Z1603" s="129">
        <f t="shared" si="127"/>
        <v>1730.8999999999999</v>
      </c>
    </row>
    <row r="1604" spans="1:26" ht="14.1" customHeight="1">
      <c r="A1604" s="144">
        <v>1642</v>
      </c>
      <c r="B1604" s="485" t="s">
        <v>239</v>
      </c>
      <c r="C1604" s="159" t="s">
        <v>631</v>
      </c>
      <c r="D1604" s="132" t="s">
        <v>98</v>
      </c>
      <c r="E1604" s="702">
        <v>53</v>
      </c>
      <c r="F1604" s="160" t="s">
        <v>285</v>
      </c>
      <c r="G1604" s="303" t="s">
        <v>285</v>
      </c>
      <c r="H1604" s="524" t="s">
        <v>100</v>
      </c>
      <c r="I1604" s="582" t="str">
        <f>VLOOKUP(H1604,'9a-Typen vloeren'!$A$10:$B$40,2,FALSE)</f>
        <v>Sprayen/ conserveren</v>
      </c>
      <c r="J1604" s="586">
        <v>60.14</v>
      </c>
      <c r="K1604" s="433">
        <f t="shared" si="128"/>
        <v>60.14</v>
      </c>
      <c r="L1604" s="433">
        <f t="shared" si="129"/>
        <v>0</v>
      </c>
      <c r="M1604" s="433">
        <f t="shared" si="130"/>
        <v>0</v>
      </c>
      <c r="N1604" s="672"/>
      <c r="O1604" s="729">
        <f>IF(N1604="",0,N1604*K1604/'9b-Vloeronderhoud'!$F$4)</f>
        <v>0</v>
      </c>
      <c r="P1604" s="672"/>
      <c r="Q1604" s="729" t="e">
        <f>IF(O1604="",0,P1604*L1604/'9b-Vloeronderhoud'!$F$6)</f>
        <v>#DIV/0!</v>
      </c>
      <c r="R1604" s="449">
        <v>1</v>
      </c>
      <c r="S1604" s="672">
        <v>190</v>
      </c>
      <c r="T1604" s="161" t="e">
        <f t="shared" si="126"/>
        <v>#DIV/0!</v>
      </c>
      <c r="U1604" s="162">
        <f>IF(S1604="nio",0,IF(S1604&gt;0,VLOOKUP(G1604,'3-Productie normen'!A:K,VLOOKUP(S1604,'3-Productie normen'!L:N,3,FALSE),FALSE)))</f>
        <v>0</v>
      </c>
      <c r="V1604" s="162">
        <f>VLOOKUP(G1604,'3-Productie normen'!A:K,10,FALSE)</f>
        <v>3305.8200070953367</v>
      </c>
      <c r="W1604" s="163">
        <f>VLOOKUP(G1604,'3-Productie normen'!A:K,11,FALSE)</f>
        <v>0</v>
      </c>
      <c r="X1604" s="163"/>
      <c r="Z1604" s="129">
        <f t="shared" si="127"/>
        <v>11426.6</v>
      </c>
    </row>
    <row r="1605" spans="1:26" ht="14.1" customHeight="1">
      <c r="A1605" s="144">
        <v>1643</v>
      </c>
      <c r="B1605" s="485" t="s">
        <v>239</v>
      </c>
      <c r="C1605" s="159" t="s">
        <v>631</v>
      </c>
      <c r="D1605" s="132" t="s">
        <v>98</v>
      </c>
      <c r="E1605" s="702">
        <v>54</v>
      </c>
      <c r="F1605" s="160" t="s">
        <v>282</v>
      </c>
      <c r="G1605" s="460" t="s">
        <v>881</v>
      </c>
      <c r="H1605" s="524" t="s">
        <v>100</v>
      </c>
      <c r="I1605" s="582" t="str">
        <f>VLOOKUP(H1605,'9a-Typen vloeren'!$A$10:$B$40,2,FALSE)</f>
        <v>Sprayen/ conserveren</v>
      </c>
      <c r="J1605" s="586">
        <v>11.47</v>
      </c>
      <c r="K1605" s="433">
        <f t="shared" si="128"/>
        <v>0</v>
      </c>
      <c r="L1605" s="433">
        <f t="shared" si="129"/>
        <v>0</v>
      </c>
      <c r="M1605" s="433">
        <f t="shared" si="130"/>
        <v>0</v>
      </c>
      <c r="N1605" s="672"/>
      <c r="O1605" s="729">
        <f>IF(N1605="",0,N1605*K1605/'9b-Vloeronderhoud'!$F$4)</f>
        <v>0</v>
      </c>
      <c r="P1605" s="672"/>
      <c r="Q1605" s="729" t="e">
        <f>IF(O1605="",0,P1605*L1605/'9b-Vloeronderhoud'!$F$6)</f>
        <v>#DIV/0!</v>
      </c>
      <c r="R1605" s="449">
        <v>1</v>
      </c>
      <c r="S1605" s="672" t="s">
        <v>179</v>
      </c>
      <c r="T1605" s="161">
        <f t="shared" si="126"/>
        <v>0</v>
      </c>
      <c r="U1605" s="162">
        <f>IF(S1605="nio",0,IF(S1605&gt;0,VLOOKUP(G1605,'3-Productie normen'!A:K,VLOOKUP(S1605,'3-Productie normen'!L:N,3,FALSE),FALSE)))</f>
        <v>0</v>
      </c>
      <c r="V1605" s="162">
        <f>VLOOKUP(G1605,'3-Productie normen'!A:K,10,FALSE)</f>
        <v>5262.809993648526</v>
      </c>
      <c r="W1605" s="163">
        <f>VLOOKUP(G1605,'3-Productie normen'!A:K,11,FALSE)</f>
        <v>0</v>
      </c>
      <c r="X1605" s="163"/>
      <c r="Z1605" s="129">
        <f t="shared" si="127"/>
        <v>0</v>
      </c>
    </row>
    <row r="1606" spans="1:26" ht="14.1" customHeight="1">
      <c r="A1606" s="144">
        <v>1644</v>
      </c>
      <c r="B1606" s="485" t="s">
        <v>239</v>
      </c>
      <c r="C1606" s="159" t="s">
        <v>631</v>
      </c>
      <c r="D1606" s="132" t="s">
        <v>98</v>
      </c>
      <c r="E1606" s="702">
        <v>55</v>
      </c>
      <c r="F1606" s="160" t="s">
        <v>281</v>
      </c>
      <c r="G1606" s="460" t="s">
        <v>881</v>
      </c>
      <c r="H1606" s="524" t="s">
        <v>333</v>
      </c>
      <c r="I1606" s="582" t="str">
        <f>VLOOKUP(H1606,'9a-Typen vloeren'!$A$10:$B$40,2,FALSE)</f>
        <v>Schrobben</v>
      </c>
      <c r="J1606" s="586">
        <v>2.15</v>
      </c>
      <c r="K1606" s="433">
        <f t="shared" si="128"/>
        <v>0</v>
      </c>
      <c r="L1606" s="433">
        <f t="shared" si="129"/>
        <v>0</v>
      </c>
      <c r="M1606" s="433">
        <f t="shared" si="130"/>
        <v>0</v>
      </c>
      <c r="N1606" s="672"/>
      <c r="O1606" s="729">
        <f>IF(N1606="",0,N1606*K1606/'9b-Vloeronderhoud'!$F$4)</f>
        <v>0</v>
      </c>
      <c r="P1606" s="672"/>
      <c r="Q1606" s="729" t="e">
        <f>IF(O1606="",0,P1606*L1606/'9b-Vloeronderhoud'!$F$6)</f>
        <v>#DIV/0!</v>
      </c>
      <c r="R1606" s="449">
        <v>1</v>
      </c>
      <c r="S1606" s="672" t="s">
        <v>179</v>
      </c>
      <c r="T1606" s="161">
        <f t="shared" si="126"/>
        <v>0</v>
      </c>
      <c r="U1606" s="162">
        <f>IF(S1606="nio",0,IF(S1606&gt;0,VLOOKUP(G1606,'3-Productie normen'!A:K,VLOOKUP(S1606,'3-Productie normen'!L:N,3,FALSE),FALSE)))</f>
        <v>0</v>
      </c>
      <c r="V1606" s="162">
        <f>VLOOKUP(G1606,'3-Productie normen'!A:K,10,FALSE)</f>
        <v>5262.809993648526</v>
      </c>
      <c r="W1606" s="163">
        <f>VLOOKUP(G1606,'3-Productie normen'!A:K,11,FALSE)</f>
        <v>0</v>
      </c>
      <c r="X1606" s="163"/>
      <c r="Z1606" s="129">
        <f t="shared" si="127"/>
        <v>0</v>
      </c>
    </row>
    <row r="1607" spans="1:26" ht="14.1" customHeight="1">
      <c r="A1607" s="144">
        <v>1645</v>
      </c>
      <c r="B1607" s="485" t="s">
        <v>239</v>
      </c>
      <c r="C1607" s="159" t="s">
        <v>631</v>
      </c>
      <c r="D1607" s="132" t="s">
        <v>98</v>
      </c>
      <c r="E1607" s="702">
        <v>56</v>
      </c>
      <c r="F1607" s="160" t="s">
        <v>346</v>
      </c>
      <c r="G1607" s="460" t="s">
        <v>881</v>
      </c>
      <c r="H1607" s="524" t="s">
        <v>100</v>
      </c>
      <c r="I1607" s="582" t="str">
        <f>VLOOKUP(H1607,'9a-Typen vloeren'!$A$10:$B$40,2,FALSE)</f>
        <v>Sprayen/ conserveren</v>
      </c>
      <c r="J1607" s="586">
        <v>7.35</v>
      </c>
      <c r="K1607" s="433">
        <f t="shared" si="128"/>
        <v>0</v>
      </c>
      <c r="L1607" s="433">
        <f t="shared" si="129"/>
        <v>0</v>
      </c>
      <c r="M1607" s="433">
        <f t="shared" si="130"/>
        <v>0</v>
      </c>
      <c r="N1607" s="672"/>
      <c r="O1607" s="729">
        <f>IF(N1607="",0,N1607*K1607/'9b-Vloeronderhoud'!$F$4)</f>
        <v>0</v>
      </c>
      <c r="P1607" s="672"/>
      <c r="Q1607" s="729" t="e">
        <f>IF(O1607="",0,P1607*L1607/'9b-Vloeronderhoud'!$F$6)</f>
        <v>#DIV/0!</v>
      </c>
      <c r="R1607" s="449">
        <v>1</v>
      </c>
      <c r="S1607" s="672" t="s">
        <v>179</v>
      </c>
      <c r="T1607" s="161">
        <f t="shared" si="126"/>
        <v>0</v>
      </c>
      <c r="U1607" s="162">
        <f>IF(S1607="nio",0,IF(S1607&gt;0,VLOOKUP(G1607,'3-Productie normen'!A:K,VLOOKUP(S1607,'3-Productie normen'!L:N,3,FALSE),FALSE)))</f>
        <v>0</v>
      </c>
      <c r="V1607" s="162">
        <f>VLOOKUP(G1607,'3-Productie normen'!A:K,10,FALSE)</f>
        <v>5262.809993648526</v>
      </c>
      <c r="W1607" s="163">
        <f>VLOOKUP(G1607,'3-Productie normen'!A:K,11,FALSE)</f>
        <v>0</v>
      </c>
      <c r="X1607" s="163"/>
      <c r="Z1607" s="129">
        <f t="shared" si="127"/>
        <v>0</v>
      </c>
    </row>
    <row r="1608" spans="1:26" ht="14.1" customHeight="1">
      <c r="A1608" s="144">
        <v>1646</v>
      </c>
      <c r="B1608" s="485" t="s">
        <v>239</v>
      </c>
      <c r="C1608" s="159" t="s">
        <v>631</v>
      </c>
      <c r="D1608" s="132" t="s">
        <v>98</v>
      </c>
      <c r="E1608" s="702">
        <v>57</v>
      </c>
      <c r="F1608" s="160" t="s">
        <v>285</v>
      </c>
      <c r="G1608" s="492" t="s">
        <v>285</v>
      </c>
      <c r="H1608" s="524" t="s">
        <v>100</v>
      </c>
      <c r="I1608" s="582" t="str">
        <f>VLOOKUP(H1608,'9a-Typen vloeren'!$A$10:$B$40,2,FALSE)</f>
        <v>Sprayen/ conserveren</v>
      </c>
      <c r="J1608" s="586">
        <v>60.14</v>
      </c>
      <c r="K1608" s="433">
        <f t="shared" si="128"/>
        <v>60.14</v>
      </c>
      <c r="L1608" s="433">
        <f t="shared" si="129"/>
        <v>0</v>
      </c>
      <c r="M1608" s="433">
        <f t="shared" si="130"/>
        <v>0</v>
      </c>
      <c r="N1608" s="672"/>
      <c r="O1608" s="729">
        <f>IF(N1608="",0,N1608*K1608/'9b-Vloeronderhoud'!$F$4)</f>
        <v>0</v>
      </c>
      <c r="P1608" s="672"/>
      <c r="Q1608" s="729" t="e">
        <f>IF(O1608="",0,P1608*L1608/'9b-Vloeronderhoud'!$F$6)</f>
        <v>#DIV/0!</v>
      </c>
      <c r="R1608" s="449">
        <v>1</v>
      </c>
      <c r="S1608" s="672">
        <v>190</v>
      </c>
      <c r="T1608" s="161" t="e">
        <f t="shared" si="126"/>
        <v>#DIV/0!</v>
      </c>
      <c r="U1608" s="162">
        <f>IF(S1608="nio",0,IF(S1608&gt;0,VLOOKUP(G1608,'3-Productie normen'!A:K,VLOOKUP(S1608,'3-Productie normen'!L:N,3,FALSE),FALSE)))</f>
        <v>0</v>
      </c>
      <c r="V1608" s="162">
        <f>VLOOKUP(G1608,'3-Productie normen'!A:K,10,FALSE)</f>
        <v>3305.8200070953367</v>
      </c>
      <c r="W1608" s="163">
        <f>VLOOKUP(G1608,'3-Productie normen'!A:K,11,FALSE)</f>
        <v>0</v>
      </c>
      <c r="X1608" s="163"/>
      <c r="Z1608" s="129">
        <f t="shared" si="127"/>
        <v>11426.6</v>
      </c>
    </row>
    <row r="1609" spans="1:26" ht="14.1" customHeight="1">
      <c r="A1609" s="144">
        <v>1647</v>
      </c>
      <c r="B1609" s="485" t="s">
        <v>239</v>
      </c>
      <c r="C1609" s="159" t="s">
        <v>631</v>
      </c>
      <c r="D1609" s="132" t="s">
        <v>98</v>
      </c>
      <c r="E1609" s="702">
        <v>58</v>
      </c>
      <c r="F1609" s="160" t="s">
        <v>402</v>
      </c>
      <c r="G1609" s="492" t="s">
        <v>18</v>
      </c>
      <c r="H1609" s="303" t="s">
        <v>955</v>
      </c>
      <c r="I1609" s="582" t="str">
        <f>VLOOKUP(H1609,'9a-Typen vloeren'!$A$10:$B$40,2,FALSE)</f>
        <v>zie kwaliteitsontwerp</v>
      </c>
      <c r="J1609" s="586">
        <v>9.11</v>
      </c>
      <c r="K1609" s="433">
        <f t="shared" si="128"/>
        <v>0</v>
      </c>
      <c r="L1609" s="433">
        <f t="shared" si="129"/>
        <v>0</v>
      </c>
      <c r="M1609" s="433">
        <f t="shared" si="130"/>
        <v>0</v>
      </c>
      <c r="N1609" s="672"/>
      <c r="O1609" s="729">
        <f>IF(N1609="",0,N1609*K1609/'9b-Vloeronderhoud'!$F$4)</f>
        <v>0</v>
      </c>
      <c r="P1609" s="672"/>
      <c r="Q1609" s="729" t="e">
        <f>IF(O1609="",0,P1609*L1609/'9b-Vloeronderhoud'!$F$6)</f>
        <v>#DIV/0!</v>
      </c>
      <c r="R1609" s="449">
        <v>1</v>
      </c>
      <c r="S1609" s="672">
        <v>190</v>
      </c>
      <c r="T1609" s="161" t="e">
        <f t="shared" si="126"/>
        <v>#DIV/0!</v>
      </c>
      <c r="U1609" s="162">
        <f>IF(S1609="nio",0,IF(S1609&gt;0,VLOOKUP(G1609,'3-Productie normen'!A:K,VLOOKUP(S1609,'3-Productie normen'!L:N,3,FALSE),FALSE)))</f>
        <v>0</v>
      </c>
      <c r="V1609" s="162">
        <f>VLOOKUP(G1609,'3-Productie normen'!A:K,10,FALSE)</f>
        <v>1859.5880019121171</v>
      </c>
      <c r="W1609" s="163">
        <f>VLOOKUP(G1609,'3-Productie normen'!A:K,11,FALSE)</f>
        <v>0</v>
      </c>
      <c r="X1609" s="163"/>
      <c r="Z1609" s="129">
        <f t="shared" si="127"/>
        <v>1730.8999999999999</v>
      </c>
    </row>
    <row r="1610" spans="1:26" ht="14.1" customHeight="1">
      <c r="A1610" s="144">
        <v>1648</v>
      </c>
      <c r="B1610" s="485" t="s">
        <v>239</v>
      </c>
      <c r="C1610" s="159" t="s">
        <v>631</v>
      </c>
      <c r="D1610" s="304" t="s">
        <v>98</v>
      </c>
      <c r="E1610" s="702">
        <v>59</v>
      </c>
      <c r="F1610" s="303" t="s">
        <v>285</v>
      </c>
      <c r="G1610" s="533" t="s">
        <v>285</v>
      </c>
      <c r="H1610" s="524" t="s">
        <v>100</v>
      </c>
      <c r="I1610" s="582" t="str">
        <f>VLOOKUP(H1610,'9a-Typen vloeren'!$A$10:$B$40,2,FALSE)</f>
        <v>Sprayen/ conserveren</v>
      </c>
      <c r="J1610" s="586">
        <v>60.14</v>
      </c>
      <c r="K1610" s="433">
        <f t="shared" si="128"/>
        <v>60.14</v>
      </c>
      <c r="L1610" s="433">
        <f t="shared" si="129"/>
        <v>0</v>
      </c>
      <c r="M1610" s="433">
        <f t="shared" si="130"/>
        <v>0</v>
      </c>
      <c r="N1610" s="672"/>
      <c r="O1610" s="729">
        <f>IF(N1610="",0,N1610*K1610/'9b-Vloeronderhoud'!$F$4)</f>
        <v>0</v>
      </c>
      <c r="P1610" s="672"/>
      <c r="Q1610" s="729" t="e">
        <f>IF(O1610="",0,P1610*L1610/'9b-Vloeronderhoud'!$F$6)</f>
        <v>#DIV/0!</v>
      </c>
      <c r="R1610" s="449">
        <v>1</v>
      </c>
      <c r="S1610" s="672">
        <v>190</v>
      </c>
      <c r="T1610" s="161" t="e">
        <f t="shared" ref="T1610:T1673" si="131">IF(S1610="nio",0,IF(S1610&gt;0,S1610*J1610/U1610,0))*R1610</f>
        <v>#DIV/0!</v>
      </c>
      <c r="U1610" s="162">
        <f>IF(S1610="nio",0,IF(S1610&gt;0,VLOOKUP(G1610,'3-Productie normen'!A:K,VLOOKUP(S1610,'3-Productie normen'!L:N,3,FALSE),FALSE)))</f>
        <v>0</v>
      </c>
      <c r="V1610" s="162">
        <f>VLOOKUP(G1610,'3-Productie normen'!A:K,10,FALSE)</f>
        <v>3305.8200070953367</v>
      </c>
      <c r="W1610" s="163">
        <f>VLOOKUP(G1610,'3-Productie normen'!A:K,11,FALSE)</f>
        <v>0</v>
      </c>
      <c r="X1610" s="163"/>
      <c r="Z1610" s="129">
        <f t="shared" ref="Z1610:Z1673" si="132">SUM(S1610:S1610)*J1610</f>
        <v>11426.6</v>
      </c>
    </row>
    <row r="1611" spans="1:26" ht="14.1" customHeight="1">
      <c r="A1611" s="144">
        <v>1649</v>
      </c>
      <c r="B1611" s="485" t="s">
        <v>239</v>
      </c>
      <c r="C1611" s="159" t="s">
        <v>631</v>
      </c>
      <c r="D1611" s="304" t="s">
        <v>98</v>
      </c>
      <c r="E1611" s="702">
        <v>60</v>
      </c>
      <c r="F1611" s="160" t="s">
        <v>282</v>
      </c>
      <c r="G1611" s="460" t="s">
        <v>881</v>
      </c>
      <c r="H1611" s="524" t="s">
        <v>100</v>
      </c>
      <c r="I1611" s="582" t="str">
        <f>VLOOKUP(H1611,'9a-Typen vloeren'!$A$10:$B$40,2,FALSE)</f>
        <v>Sprayen/ conserveren</v>
      </c>
      <c r="J1611" s="586">
        <v>5.6</v>
      </c>
      <c r="K1611" s="433">
        <f t="shared" si="128"/>
        <v>0</v>
      </c>
      <c r="L1611" s="433">
        <f t="shared" si="129"/>
        <v>0</v>
      </c>
      <c r="M1611" s="433">
        <f t="shared" si="130"/>
        <v>0</v>
      </c>
      <c r="N1611" s="672"/>
      <c r="O1611" s="729">
        <f>IF(N1611="",0,N1611*K1611/'9b-Vloeronderhoud'!$F$4)</f>
        <v>0</v>
      </c>
      <c r="P1611" s="672"/>
      <c r="Q1611" s="729" t="e">
        <f>IF(O1611="",0,P1611*L1611/'9b-Vloeronderhoud'!$F$6)</f>
        <v>#DIV/0!</v>
      </c>
      <c r="R1611" s="449">
        <v>1</v>
      </c>
      <c r="S1611" s="672" t="s">
        <v>179</v>
      </c>
      <c r="T1611" s="161">
        <f t="shared" si="131"/>
        <v>0</v>
      </c>
      <c r="U1611" s="162">
        <f>IF(S1611="nio",0,IF(S1611&gt;0,VLOOKUP(G1611,'3-Productie normen'!A:K,VLOOKUP(S1611,'3-Productie normen'!L:N,3,FALSE),FALSE)))</f>
        <v>0</v>
      </c>
      <c r="V1611" s="162">
        <f>VLOOKUP(G1611,'3-Productie normen'!A:K,10,FALSE)</f>
        <v>5262.809993648526</v>
      </c>
      <c r="W1611" s="163">
        <f>VLOOKUP(G1611,'3-Productie normen'!A:K,11,FALSE)</f>
        <v>0</v>
      </c>
      <c r="X1611" s="163"/>
      <c r="Z1611" s="129">
        <f t="shared" si="132"/>
        <v>0</v>
      </c>
    </row>
    <row r="1612" spans="1:26" ht="14.1" customHeight="1">
      <c r="A1612" s="144">
        <v>1650</v>
      </c>
      <c r="B1612" s="485" t="s">
        <v>239</v>
      </c>
      <c r="C1612" s="159" t="s">
        <v>631</v>
      </c>
      <c r="D1612" s="304" t="s">
        <v>98</v>
      </c>
      <c r="E1612" s="702">
        <v>61</v>
      </c>
      <c r="F1612" s="160" t="s">
        <v>620</v>
      </c>
      <c r="G1612" s="460" t="s">
        <v>881</v>
      </c>
      <c r="H1612" s="524" t="s">
        <v>100</v>
      </c>
      <c r="I1612" s="582" t="str">
        <f>VLOOKUP(H1612,'9a-Typen vloeren'!$A$10:$B$40,2,FALSE)</f>
        <v>Sprayen/ conserveren</v>
      </c>
      <c r="J1612" s="586">
        <v>17.600000000000001</v>
      </c>
      <c r="K1612" s="433">
        <f t="shared" si="128"/>
        <v>0</v>
      </c>
      <c r="L1612" s="433">
        <f t="shared" si="129"/>
        <v>0</v>
      </c>
      <c r="M1612" s="433">
        <f t="shared" si="130"/>
        <v>0</v>
      </c>
      <c r="N1612" s="672"/>
      <c r="O1612" s="729">
        <f>IF(N1612="",0,N1612*K1612/'9b-Vloeronderhoud'!$F$4)</f>
        <v>0</v>
      </c>
      <c r="P1612" s="672"/>
      <c r="Q1612" s="729" t="e">
        <f>IF(O1612="",0,P1612*L1612/'9b-Vloeronderhoud'!$F$6)</f>
        <v>#DIV/0!</v>
      </c>
      <c r="R1612" s="449">
        <v>1</v>
      </c>
      <c r="S1612" s="672" t="s">
        <v>179</v>
      </c>
      <c r="T1612" s="161">
        <f t="shared" si="131"/>
        <v>0</v>
      </c>
      <c r="U1612" s="162">
        <f>IF(S1612="nio",0,IF(S1612&gt;0,VLOOKUP(G1612,'3-Productie normen'!A:K,VLOOKUP(S1612,'3-Productie normen'!L:N,3,FALSE),FALSE)))</f>
        <v>0</v>
      </c>
      <c r="V1612" s="162">
        <f>VLOOKUP(G1612,'3-Productie normen'!A:K,10,FALSE)</f>
        <v>5262.809993648526</v>
      </c>
      <c r="W1612" s="163">
        <f>VLOOKUP(G1612,'3-Productie normen'!A:K,11,FALSE)</f>
        <v>0</v>
      </c>
      <c r="X1612" s="163"/>
      <c r="Z1612" s="129">
        <f t="shared" si="132"/>
        <v>0</v>
      </c>
    </row>
    <row r="1613" spans="1:26" ht="14.1" customHeight="1">
      <c r="A1613" s="144">
        <v>1651</v>
      </c>
      <c r="B1613" s="485" t="s">
        <v>239</v>
      </c>
      <c r="C1613" s="159" t="s">
        <v>631</v>
      </c>
      <c r="D1613" s="304" t="s">
        <v>98</v>
      </c>
      <c r="E1613" s="702">
        <v>62</v>
      </c>
      <c r="F1613" s="160" t="s">
        <v>620</v>
      </c>
      <c r="G1613" s="460" t="s">
        <v>881</v>
      </c>
      <c r="H1613" s="524" t="s">
        <v>100</v>
      </c>
      <c r="I1613" s="582" t="str">
        <f>VLOOKUP(H1613,'9a-Typen vloeren'!$A$10:$B$40,2,FALSE)</f>
        <v>Sprayen/ conserveren</v>
      </c>
      <c r="J1613" s="586">
        <v>20.75</v>
      </c>
      <c r="K1613" s="433">
        <f t="shared" si="128"/>
        <v>0</v>
      </c>
      <c r="L1613" s="433">
        <f t="shared" si="129"/>
        <v>0</v>
      </c>
      <c r="M1613" s="433">
        <f t="shared" si="130"/>
        <v>0</v>
      </c>
      <c r="N1613" s="672"/>
      <c r="O1613" s="729">
        <f>IF(N1613="",0,N1613*K1613/'9b-Vloeronderhoud'!$F$4)</f>
        <v>0</v>
      </c>
      <c r="P1613" s="672"/>
      <c r="Q1613" s="729" t="e">
        <f>IF(O1613="",0,P1613*L1613/'9b-Vloeronderhoud'!$F$6)</f>
        <v>#DIV/0!</v>
      </c>
      <c r="R1613" s="449">
        <v>1</v>
      </c>
      <c r="S1613" s="672" t="s">
        <v>179</v>
      </c>
      <c r="T1613" s="161">
        <f t="shared" si="131"/>
        <v>0</v>
      </c>
      <c r="U1613" s="162">
        <f>IF(S1613="nio",0,IF(S1613&gt;0,VLOOKUP(G1613,'3-Productie normen'!A:K,VLOOKUP(S1613,'3-Productie normen'!L:N,3,FALSE),FALSE)))</f>
        <v>0</v>
      </c>
      <c r="V1613" s="162">
        <f>VLOOKUP(G1613,'3-Productie normen'!A:K,10,FALSE)</f>
        <v>5262.809993648526</v>
      </c>
      <c r="W1613" s="163">
        <f>VLOOKUP(G1613,'3-Productie normen'!A:K,11,FALSE)</f>
        <v>0</v>
      </c>
      <c r="X1613" s="163"/>
      <c r="Z1613" s="129">
        <f t="shared" si="132"/>
        <v>0</v>
      </c>
    </row>
    <row r="1614" spans="1:26" ht="14.1" customHeight="1">
      <c r="A1614" s="144">
        <v>1652</v>
      </c>
      <c r="B1614" s="485" t="s">
        <v>239</v>
      </c>
      <c r="C1614" s="159" t="s">
        <v>631</v>
      </c>
      <c r="D1614" s="304" t="s">
        <v>98</v>
      </c>
      <c r="E1614" s="702">
        <v>63</v>
      </c>
      <c r="F1614" s="160" t="s">
        <v>621</v>
      </c>
      <c r="G1614" s="460" t="s">
        <v>881</v>
      </c>
      <c r="H1614" s="524" t="s">
        <v>100</v>
      </c>
      <c r="I1614" s="582" t="str">
        <f>VLOOKUP(H1614,'9a-Typen vloeren'!$A$10:$B$40,2,FALSE)</f>
        <v>Sprayen/ conserveren</v>
      </c>
      <c r="J1614" s="586">
        <v>6.1</v>
      </c>
      <c r="K1614" s="433">
        <f t="shared" si="128"/>
        <v>0</v>
      </c>
      <c r="L1614" s="433">
        <f t="shared" si="129"/>
        <v>0</v>
      </c>
      <c r="M1614" s="433">
        <f t="shared" si="130"/>
        <v>0</v>
      </c>
      <c r="N1614" s="672"/>
      <c r="O1614" s="729">
        <f>IF(N1614="",0,N1614*K1614/'9b-Vloeronderhoud'!$F$4)</f>
        <v>0</v>
      </c>
      <c r="P1614" s="672"/>
      <c r="Q1614" s="729" t="e">
        <f>IF(O1614="",0,P1614*L1614/'9b-Vloeronderhoud'!$F$6)</f>
        <v>#DIV/0!</v>
      </c>
      <c r="R1614" s="449">
        <v>1</v>
      </c>
      <c r="S1614" s="672" t="s">
        <v>179</v>
      </c>
      <c r="T1614" s="161">
        <f t="shared" si="131"/>
        <v>0</v>
      </c>
      <c r="U1614" s="162">
        <f>IF(S1614="nio",0,IF(S1614&gt;0,VLOOKUP(G1614,'3-Productie normen'!A:K,VLOOKUP(S1614,'3-Productie normen'!L:N,3,FALSE),FALSE)))</f>
        <v>0</v>
      </c>
      <c r="V1614" s="162">
        <f>VLOOKUP(G1614,'3-Productie normen'!A:K,10,FALSE)</f>
        <v>5262.809993648526</v>
      </c>
      <c r="W1614" s="163">
        <f>VLOOKUP(G1614,'3-Productie normen'!A:K,11,FALSE)</f>
        <v>0</v>
      </c>
      <c r="X1614" s="163"/>
      <c r="Z1614" s="129">
        <f t="shared" si="132"/>
        <v>0</v>
      </c>
    </row>
    <row r="1615" spans="1:26" ht="14.1" customHeight="1">
      <c r="A1615" s="144">
        <v>1653</v>
      </c>
      <c r="B1615" s="485" t="s">
        <v>239</v>
      </c>
      <c r="C1615" s="159" t="s">
        <v>631</v>
      </c>
      <c r="D1615" s="304" t="s">
        <v>98</v>
      </c>
      <c r="E1615" s="702">
        <v>64</v>
      </c>
      <c r="F1615" s="160" t="s">
        <v>622</v>
      </c>
      <c r="G1615" s="460" t="s">
        <v>189</v>
      </c>
      <c r="H1615" s="303" t="s">
        <v>332</v>
      </c>
      <c r="I1615" s="582" t="str">
        <f>VLOOKUP(H1615,'9a-Typen vloeren'!$A$10:$B$40,2,FALSE)</f>
        <v>Sproei/extraheren</v>
      </c>
      <c r="J1615" s="586">
        <v>17.329999999999998</v>
      </c>
      <c r="K1615" s="433">
        <f t="shared" si="128"/>
        <v>0</v>
      </c>
      <c r="L1615" s="433">
        <f t="shared" si="129"/>
        <v>0</v>
      </c>
      <c r="M1615" s="433">
        <f t="shared" si="130"/>
        <v>17.329999999999998</v>
      </c>
      <c r="N1615" s="672"/>
      <c r="O1615" s="729">
        <f>IF(N1615="",0,N1615*K1615/'9b-Vloeronderhoud'!$F$4)</f>
        <v>0</v>
      </c>
      <c r="P1615" s="672"/>
      <c r="Q1615" s="729" t="e">
        <f>IF(O1615="",0,P1615*L1615/'9b-Vloeronderhoud'!$F$6)</f>
        <v>#DIV/0!</v>
      </c>
      <c r="R1615" s="449">
        <v>1</v>
      </c>
      <c r="S1615" s="672">
        <v>40</v>
      </c>
      <c r="T1615" s="161" t="e">
        <f t="shared" si="131"/>
        <v>#DIV/0!</v>
      </c>
      <c r="U1615" s="162">
        <f>IF(S1615="nio",0,IF(S1615&gt;0,VLOOKUP(G1615,'3-Productie normen'!A:K,VLOOKUP(S1615,'3-Productie normen'!L:N,3,FALSE),FALSE)))</f>
        <v>0</v>
      </c>
      <c r="V1615" s="162">
        <f>VLOOKUP(G1615,'3-Productie normen'!A:K,10,FALSE)</f>
        <v>1494.1700078582762</v>
      </c>
      <c r="W1615" s="163">
        <f>VLOOKUP(G1615,'3-Productie normen'!A:K,11,FALSE)</f>
        <v>0</v>
      </c>
      <c r="X1615" s="163"/>
      <c r="Z1615" s="129">
        <f t="shared" si="132"/>
        <v>693.19999999999993</v>
      </c>
    </row>
    <row r="1616" spans="1:26" ht="14.1" customHeight="1">
      <c r="A1616" s="144">
        <v>1654</v>
      </c>
      <c r="B1616" s="485" t="s">
        <v>239</v>
      </c>
      <c r="C1616" s="159" t="s">
        <v>631</v>
      </c>
      <c r="D1616" s="304" t="s">
        <v>98</v>
      </c>
      <c r="E1616" s="702">
        <v>65</v>
      </c>
      <c r="F1616" s="160" t="s">
        <v>623</v>
      </c>
      <c r="G1616" s="460" t="s">
        <v>881</v>
      </c>
      <c r="H1616" s="524" t="s">
        <v>101</v>
      </c>
      <c r="I1616" s="582" t="str">
        <f>VLOOKUP(H1616,'9a-Typen vloeren'!$A$10:$B$40,2,FALSE)</f>
        <v>Schrobben</v>
      </c>
      <c r="J1616" s="586">
        <v>21.4</v>
      </c>
      <c r="K1616" s="433">
        <f t="shared" si="128"/>
        <v>0</v>
      </c>
      <c r="L1616" s="433">
        <f t="shared" si="129"/>
        <v>0</v>
      </c>
      <c r="M1616" s="433">
        <f t="shared" si="130"/>
        <v>0</v>
      </c>
      <c r="N1616" s="672"/>
      <c r="O1616" s="729">
        <f>IF(N1616="",0,N1616*K1616/'9b-Vloeronderhoud'!$F$4)</f>
        <v>0</v>
      </c>
      <c r="P1616" s="672"/>
      <c r="Q1616" s="729" t="e">
        <f>IF(O1616="",0,P1616*L1616/'9b-Vloeronderhoud'!$F$6)</f>
        <v>#DIV/0!</v>
      </c>
      <c r="R1616" s="449">
        <v>1</v>
      </c>
      <c r="S1616" s="672" t="s">
        <v>179</v>
      </c>
      <c r="T1616" s="161">
        <f t="shared" si="131"/>
        <v>0</v>
      </c>
      <c r="U1616" s="162">
        <f>IF(S1616="nio",0,IF(S1616&gt;0,VLOOKUP(G1616,'3-Productie normen'!A:K,VLOOKUP(S1616,'3-Productie normen'!L:N,3,FALSE),FALSE)))</f>
        <v>0</v>
      </c>
      <c r="V1616" s="162">
        <f>VLOOKUP(G1616,'3-Productie normen'!A:K,10,FALSE)</f>
        <v>5262.809993648526</v>
      </c>
      <c r="W1616" s="163">
        <f>VLOOKUP(G1616,'3-Productie normen'!A:K,11,FALSE)</f>
        <v>0</v>
      </c>
      <c r="X1616" s="163"/>
      <c r="Z1616" s="129">
        <f t="shared" si="132"/>
        <v>0</v>
      </c>
    </row>
    <row r="1617" spans="1:26" ht="14.1" customHeight="1">
      <c r="A1617" s="144">
        <v>1655</v>
      </c>
      <c r="B1617" s="485" t="s">
        <v>239</v>
      </c>
      <c r="C1617" s="159" t="s">
        <v>631</v>
      </c>
      <c r="D1617" s="304" t="s">
        <v>98</v>
      </c>
      <c r="E1617" s="702">
        <v>66</v>
      </c>
      <c r="F1617" s="160" t="s">
        <v>624</v>
      </c>
      <c r="G1617" s="460" t="s">
        <v>881</v>
      </c>
      <c r="H1617" s="524" t="s">
        <v>101</v>
      </c>
      <c r="I1617" s="582" t="str">
        <f>VLOOKUP(H1617,'9a-Typen vloeren'!$A$10:$B$40,2,FALSE)</f>
        <v>Schrobben</v>
      </c>
      <c r="J1617" s="586">
        <v>55.37</v>
      </c>
      <c r="K1617" s="433">
        <f t="shared" si="128"/>
        <v>0</v>
      </c>
      <c r="L1617" s="433">
        <f t="shared" si="129"/>
        <v>0</v>
      </c>
      <c r="M1617" s="433">
        <f t="shared" si="130"/>
        <v>0</v>
      </c>
      <c r="N1617" s="672"/>
      <c r="O1617" s="729">
        <f>IF(N1617="",0,N1617*K1617/'9b-Vloeronderhoud'!$F$4)</f>
        <v>0</v>
      </c>
      <c r="P1617" s="672"/>
      <c r="Q1617" s="729" t="e">
        <f>IF(O1617="",0,P1617*L1617/'9b-Vloeronderhoud'!$F$6)</f>
        <v>#DIV/0!</v>
      </c>
      <c r="R1617" s="449">
        <v>1</v>
      </c>
      <c r="S1617" s="672" t="s">
        <v>179</v>
      </c>
      <c r="T1617" s="161">
        <f t="shared" si="131"/>
        <v>0</v>
      </c>
      <c r="U1617" s="162">
        <f>IF(S1617="nio",0,IF(S1617&gt;0,VLOOKUP(G1617,'3-Productie normen'!A:K,VLOOKUP(S1617,'3-Productie normen'!L:N,3,FALSE),FALSE)))</f>
        <v>0</v>
      </c>
      <c r="V1617" s="162">
        <f>VLOOKUP(G1617,'3-Productie normen'!A:K,10,FALSE)</f>
        <v>5262.809993648526</v>
      </c>
      <c r="W1617" s="163">
        <f>VLOOKUP(G1617,'3-Productie normen'!A:K,11,FALSE)</f>
        <v>0</v>
      </c>
      <c r="X1617" s="163"/>
      <c r="Z1617" s="129">
        <f t="shared" si="132"/>
        <v>0</v>
      </c>
    </row>
    <row r="1618" spans="1:26" ht="14.1" customHeight="1">
      <c r="A1618" s="144">
        <v>1656</v>
      </c>
      <c r="B1618" s="485" t="s">
        <v>239</v>
      </c>
      <c r="C1618" s="159" t="s">
        <v>631</v>
      </c>
      <c r="D1618" s="304" t="s">
        <v>98</v>
      </c>
      <c r="E1618" s="702">
        <v>67</v>
      </c>
      <c r="F1618" s="160" t="s">
        <v>625</v>
      </c>
      <c r="G1618" s="460" t="s">
        <v>881</v>
      </c>
      <c r="H1618" s="524" t="s">
        <v>101</v>
      </c>
      <c r="I1618" s="582" t="str">
        <f>VLOOKUP(H1618,'9a-Typen vloeren'!$A$10:$B$40,2,FALSE)</f>
        <v>Schrobben</v>
      </c>
      <c r="J1618" s="586">
        <v>220.83</v>
      </c>
      <c r="K1618" s="433">
        <f t="shared" ref="K1618:K1681" si="133">IF(G1618="niet in onderhoud",0,IF(I1618="sprayen/ conserveren",J1618,0))</f>
        <v>0</v>
      </c>
      <c r="L1618" s="433">
        <f t="shared" ref="L1618:L1681" si="134">IF(G1618="niet in onderhoud",0,IF(I1618="schrobben",J1618,0))</f>
        <v>0</v>
      </c>
      <c r="M1618" s="433">
        <f t="shared" ref="M1618:M1681" si="135">IF(G1618="niet in onderhoud",0,IF(I1618="Sproei/extraheren",J1618,0))</f>
        <v>0</v>
      </c>
      <c r="N1618" s="672"/>
      <c r="O1618" s="729">
        <f>IF(N1618="",0,N1618*K1618/'9b-Vloeronderhoud'!$F$4)</f>
        <v>0</v>
      </c>
      <c r="P1618" s="672"/>
      <c r="Q1618" s="729" t="e">
        <f>IF(O1618="",0,P1618*L1618/'9b-Vloeronderhoud'!$F$6)</f>
        <v>#DIV/0!</v>
      </c>
      <c r="R1618" s="449">
        <v>1</v>
      </c>
      <c r="S1618" s="672" t="s">
        <v>179</v>
      </c>
      <c r="T1618" s="161">
        <f t="shared" si="131"/>
        <v>0</v>
      </c>
      <c r="U1618" s="162">
        <f>IF(S1618="nio",0,IF(S1618&gt;0,VLOOKUP(G1618,'3-Productie normen'!A:K,VLOOKUP(S1618,'3-Productie normen'!L:N,3,FALSE),FALSE)))</f>
        <v>0</v>
      </c>
      <c r="V1618" s="162">
        <f>VLOOKUP(G1618,'3-Productie normen'!A:K,10,FALSE)</f>
        <v>5262.809993648526</v>
      </c>
      <c r="W1618" s="163">
        <f>VLOOKUP(G1618,'3-Productie normen'!A:K,11,FALSE)</f>
        <v>0</v>
      </c>
      <c r="X1618" s="163"/>
      <c r="Z1618" s="129">
        <f t="shared" si="132"/>
        <v>0</v>
      </c>
    </row>
    <row r="1619" spans="1:26" ht="14.1" customHeight="1">
      <c r="A1619" s="144">
        <v>1657</v>
      </c>
      <c r="B1619" s="485" t="s">
        <v>239</v>
      </c>
      <c r="C1619" s="159" t="s">
        <v>631</v>
      </c>
      <c r="D1619" s="304">
        <v>1</v>
      </c>
      <c r="E1619" s="702" t="s">
        <v>578</v>
      </c>
      <c r="F1619" s="494" t="s">
        <v>287</v>
      </c>
      <c r="G1619" s="460" t="s">
        <v>287</v>
      </c>
      <c r="H1619" s="524" t="s">
        <v>934</v>
      </c>
      <c r="I1619" s="582" t="str">
        <f>VLOOKUP(H1619,'9a-Typen vloeren'!$A$10:$B$40,2,FALSE)</f>
        <v>n.v.t.</v>
      </c>
      <c r="J1619" s="586">
        <v>8.23</v>
      </c>
      <c r="K1619" s="433">
        <f t="shared" si="133"/>
        <v>0</v>
      </c>
      <c r="L1619" s="433">
        <f t="shared" si="134"/>
        <v>0</v>
      </c>
      <c r="M1619" s="433">
        <f t="shared" si="135"/>
        <v>0</v>
      </c>
      <c r="N1619" s="672"/>
      <c r="O1619" s="729">
        <f>IF(N1619="",0,N1619*K1619/'9b-Vloeronderhoud'!$F$4)</f>
        <v>0</v>
      </c>
      <c r="P1619" s="672"/>
      <c r="Q1619" s="729" t="e">
        <f>IF(O1619="",0,P1619*L1619/'9b-Vloeronderhoud'!$F$6)</f>
        <v>#DIV/0!</v>
      </c>
      <c r="R1619" s="449">
        <v>1</v>
      </c>
      <c r="S1619" s="672">
        <v>80</v>
      </c>
      <c r="T1619" s="161" t="e">
        <f t="shared" si="131"/>
        <v>#DIV/0!</v>
      </c>
      <c r="U1619" s="162">
        <f>IF(S1619="nio",0,IF(S1619&gt;0,VLOOKUP(G1619,'3-Productie normen'!A:K,VLOOKUP(S1619,'3-Productie normen'!L:N,3,FALSE),FALSE)))</f>
        <v>0</v>
      </c>
      <c r="V1619" s="162">
        <f>VLOOKUP(G1619,'3-Productie normen'!A:K,10,FALSE)</f>
        <v>519.460002565384</v>
      </c>
      <c r="W1619" s="163">
        <f>VLOOKUP(G1619,'3-Productie normen'!A:K,11,FALSE)</f>
        <v>0</v>
      </c>
      <c r="X1619" s="163"/>
      <c r="Z1619" s="129">
        <f t="shared" si="132"/>
        <v>658.40000000000009</v>
      </c>
    </row>
    <row r="1620" spans="1:26" ht="14.1" customHeight="1">
      <c r="A1620" s="144">
        <v>1658</v>
      </c>
      <c r="B1620" s="485" t="s">
        <v>239</v>
      </c>
      <c r="C1620" s="159" t="s">
        <v>631</v>
      </c>
      <c r="D1620" s="304">
        <v>1</v>
      </c>
      <c r="E1620" s="702" t="s">
        <v>569</v>
      </c>
      <c r="F1620" s="160" t="s">
        <v>221</v>
      </c>
      <c r="G1620" s="303" t="s">
        <v>221</v>
      </c>
      <c r="H1620" s="524" t="s">
        <v>100</v>
      </c>
      <c r="I1620" s="582" t="str">
        <f>VLOOKUP(H1620,'9a-Typen vloeren'!$A$10:$B$40,2,FALSE)</f>
        <v>Sprayen/ conserveren</v>
      </c>
      <c r="J1620" s="586">
        <v>51.03</v>
      </c>
      <c r="K1620" s="433">
        <f t="shared" si="133"/>
        <v>51.03</v>
      </c>
      <c r="L1620" s="433">
        <f t="shared" si="134"/>
        <v>0</v>
      </c>
      <c r="M1620" s="433">
        <f t="shared" si="135"/>
        <v>0</v>
      </c>
      <c r="N1620" s="672"/>
      <c r="O1620" s="729">
        <f>IF(N1620="",0,N1620*K1620/'9b-Vloeronderhoud'!$F$4)</f>
        <v>0</v>
      </c>
      <c r="P1620" s="672"/>
      <c r="Q1620" s="729" t="e">
        <f>IF(O1620="",0,P1620*L1620/'9b-Vloeronderhoud'!$F$6)</f>
        <v>#DIV/0!</v>
      </c>
      <c r="R1620" s="449">
        <v>1</v>
      </c>
      <c r="S1620" s="688" t="s">
        <v>179</v>
      </c>
      <c r="T1620" s="161">
        <f t="shared" si="131"/>
        <v>0</v>
      </c>
      <c r="U1620" s="162">
        <f>IF(S1620="nio",0,IF(S1620&gt;0,VLOOKUP(G1620,'3-Productie normen'!A:K,VLOOKUP(S1620,'3-Productie normen'!L:N,3,FALSE),FALSE)))</f>
        <v>0</v>
      </c>
      <c r="V1620" s="162">
        <f>VLOOKUP(G1620,'3-Productie normen'!A:K,10,FALSE)</f>
        <v>16013.110036668773</v>
      </c>
      <c r="W1620" s="163">
        <f>VLOOKUP(G1620,'3-Productie normen'!A:K,11,FALSE)</f>
        <v>0</v>
      </c>
      <c r="X1620" s="163"/>
      <c r="Z1620" s="129">
        <f t="shared" si="132"/>
        <v>0</v>
      </c>
    </row>
    <row r="1621" spans="1:26" ht="14.1" customHeight="1">
      <c r="A1621" s="144">
        <v>1659</v>
      </c>
      <c r="B1621" s="485" t="s">
        <v>239</v>
      </c>
      <c r="C1621" s="159" t="s">
        <v>631</v>
      </c>
      <c r="D1621" s="304">
        <v>1</v>
      </c>
      <c r="E1621" s="702" t="s">
        <v>570</v>
      </c>
      <c r="F1621" s="160" t="s">
        <v>283</v>
      </c>
      <c r="G1621" s="172" t="s">
        <v>286</v>
      </c>
      <c r="H1621" s="524" t="s">
        <v>100</v>
      </c>
      <c r="I1621" s="582" t="str">
        <f>VLOOKUP(H1621,'9a-Typen vloeren'!$A$10:$B$40,2,FALSE)</f>
        <v>Sprayen/ conserveren</v>
      </c>
      <c r="J1621" s="586">
        <v>58.2</v>
      </c>
      <c r="K1621" s="433">
        <f t="shared" si="133"/>
        <v>58.2</v>
      </c>
      <c r="L1621" s="433">
        <f t="shared" si="134"/>
        <v>0</v>
      </c>
      <c r="M1621" s="433">
        <f t="shared" si="135"/>
        <v>0</v>
      </c>
      <c r="N1621" s="672">
        <v>2</v>
      </c>
      <c r="O1621" s="729" t="e">
        <f>IF(N1621="",0,N1621*K1621/'9b-Vloeronderhoud'!$F$4)</f>
        <v>#DIV/0!</v>
      </c>
      <c r="P1621" s="672"/>
      <c r="Q1621" s="729" t="e">
        <f>IF(O1621="",0,P1621*L1621/'9b-Vloeronderhoud'!$F$6)</f>
        <v>#DIV/0!</v>
      </c>
      <c r="R1621" s="449">
        <v>1</v>
      </c>
      <c r="S1621" s="672">
        <v>120</v>
      </c>
      <c r="T1621" s="161" t="e">
        <f t="shared" si="131"/>
        <v>#DIV/0!</v>
      </c>
      <c r="U1621" s="162">
        <f>IF(S1621="nio",0,IF(S1621&gt;0,VLOOKUP(G1621,'3-Productie normen'!A:K,VLOOKUP(S1621,'3-Productie normen'!L:N,3,FALSE),FALSE)))</f>
        <v>0</v>
      </c>
      <c r="V1621" s="162">
        <f>VLOOKUP(G1621,'3-Productie normen'!A:K,10,FALSE)</f>
        <v>6152.9500017547598</v>
      </c>
      <c r="W1621" s="163">
        <f>VLOOKUP(G1621,'3-Productie normen'!A:K,11,FALSE)</f>
        <v>0</v>
      </c>
      <c r="X1621" s="163"/>
      <c r="Z1621" s="129">
        <f t="shared" si="132"/>
        <v>6984</v>
      </c>
    </row>
    <row r="1622" spans="1:26" ht="14.1" customHeight="1">
      <c r="A1622" s="144">
        <v>1660</v>
      </c>
      <c r="B1622" s="485" t="s">
        <v>239</v>
      </c>
      <c r="C1622" s="159" t="s">
        <v>631</v>
      </c>
      <c r="D1622" s="304">
        <v>1</v>
      </c>
      <c r="E1622" s="702" t="s">
        <v>586</v>
      </c>
      <c r="F1622" s="160" t="s">
        <v>221</v>
      </c>
      <c r="G1622" s="122" t="s">
        <v>221</v>
      </c>
      <c r="H1622" s="524" t="s">
        <v>100</v>
      </c>
      <c r="I1622" s="582" t="str">
        <f>VLOOKUP(H1622,'9a-Typen vloeren'!$A$10:$B$40,2,FALSE)</f>
        <v>Sprayen/ conserveren</v>
      </c>
      <c r="J1622" s="586">
        <v>54.3</v>
      </c>
      <c r="K1622" s="433">
        <f t="shared" si="133"/>
        <v>54.3</v>
      </c>
      <c r="L1622" s="433">
        <f t="shared" si="134"/>
        <v>0</v>
      </c>
      <c r="M1622" s="433">
        <f t="shared" si="135"/>
        <v>0</v>
      </c>
      <c r="N1622" s="672"/>
      <c r="O1622" s="729">
        <f>IF(N1622="",0,N1622*K1622/'9b-Vloeronderhoud'!$F$4)</f>
        <v>0</v>
      </c>
      <c r="P1622" s="672"/>
      <c r="Q1622" s="729" t="e">
        <f>IF(O1622="",0,P1622*L1622/'9b-Vloeronderhoud'!$F$6)</f>
        <v>#DIV/0!</v>
      </c>
      <c r="R1622" s="449">
        <v>1</v>
      </c>
      <c r="S1622" s="688" t="s">
        <v>179</v>
      </c>
      <c r="T1622" s="161">
        <f t="shared" si="131"/>
        <v>0</v>
      </c>
      <c r="U1622" s="162">
        <f>IF(S1622="nio",0,IF(S1622&gt;0,VLOOKUP(G1622,'3-Productie normen'!A:K,VLOOKUP(S1622,'3-Productie normen'!L:N,3,FALSE),FALSE)))</f>
        <v>0</v>
      </c>
      <c r="V1622" s="162">
        <f>VLOOKUP(G1622,'3-Productie normen'!A:K,10,FALSE)</f>
        <v>16013.110036668773</v>
      </c>
      <c r="W1622" s="163">
        <f>VLOOKUP(G1622,'3-Productie normen'!A:K,11,FALSE)</f>
        <v>0</v>
      </c>
      <c r="X1622" s="163"/>
      <c r="Z1622" s="129">
        <f t="shared" si="132"/>
        <v>0</v>
      </c>
    </row>
    <row r="1623" spans="1:26" ht="14.1" customHeight="1">
      <c r="A1623" s="144">
        <v>1661</v>
      </c>
      <c r="B1623" s="485" t="s">
        <v>239</v>
      </c>
      <c r="C1623" s="159" t="s">
        <v>631</v>
      </c>
      <c r="D1623" s="304">
        <v>1</v>
      </c>
      <c r="E1623" s="702" t="s">
        <v>587</v>
      </c>
      <c r="F1623" s="160" t="s">
        <v>221</v>
      </c>
      <c r="G1623" s="122" t="s">
        <v>221</v>
      </c>
      <c r="H1623" s="524" t="s">
        <v>100</v>
      </c>
      <c r="I1623" s="582" t="str">
        <f>VLOOKUP(H1623,'9a-Typen vloeren'!$A$10:$B$40,2,FALSE)</f>
        <v>Sprayen/ conserveren</v>
      </c>
      <c r="J1623" s="586">
        <v>54.3</v>
      </c>
      <c r="K1623" s="433">
        <f t="shared" si="133"/>
        <v>54.3</v>
      </c>
      <c r="L1623" s="433">
        <f t="shared" si="134"/>
        <v>0</v>
      </c>
      <c r="M1623" s="433">
        <f t="shared" si="135"/>
        <v>0</v>
      </c>
      <c r="N1623" s="672"/>
      <c r="O1623" s="729">
        <f>IF(N1623="",0,N1623*K1623/'9b-Vloeronderhoud'!$F$4)</f>
        <v>0</v>
      </c>
      <c r="P1623" s="672"/>
      <c r="Q1623" s="729" t="e">
        <f>IF(O1623="",0,P1623*L1623/'9b-Vloeronderhoud'!$F$6)</f>
        <v>#DIV/0!</v>
      </c>
      <c r="R1623" s="449">
        <v>1</v>
      </c>
      <c r="S1623" s="688" t="s">
        <v>179</v>
      </c>
      <c r="T1623" s="161">
        <f t="shared" si="131"/>
        <v>0</v>
      </c>
      <c r="U1623" s="162">
        <f>IF(S1623="nio",0,IF(S1623&gt;0,VLOOKUP(G1623,'3-Productie normen'!A:K,VLOOKUP(S1623,'3-Productie normen'!L:N,3,FALSE),FALSE)))</f>
        <v>0</v>
      </c>
      <c r="V1623" s="162">
        <f>VLOOKUP(G1623,'3-Productie normen'!A:K,10,FALSE)</f>
        <v>16013.110036668773</v>
      </c>
      <c r="W1623" s="163">
        <f>VLOOKUP(G1623,'3-Productie normen'!A:K,11,FALSE)</f>
        <v>0</v>
      </c>
      <c r="X1623" s="163"/>
      <c r="Z1623" s="129">
        <f t="shared" si="132"/>
        <v>0</v>
      </c>
    </row>
    <row r="1624" spans="1:26" ht="14.1" customHeight="1">
      <c r="A1624" s="144">
        <v>1662</v>
      </c>
      <c r="B1624" s="485" t="s">
        <v>239</v>
      </c>
      <c r="C1624" s="159" t="s">
        <v>631</v>
      </c>
      <c r="D1624" s="304">
        <v>1</v>
      </c>
      <c r="E1624" s="702" t="s">
        <v>579</v>
      </c>
      <c r="F1624" s="303" t="s">
        <v>283</v>
      </c>
      <c r="G1624" s="122" t="s">
        <v>286</v>
      </c>
      <c r="H1624" s="524" t="s">
        <v>100</v>
      </c>
      <c r="I1624" s="582" t="str">
        <f>VLOOKUP(H1624,'9a-Typen vloeren'!$A$10:$B$40,2,FALSE)</f>
        <v>Sprayen/ conserveren</v>
      </c>
      <c r="J1624" s="586">
        <v>6.67</v>
      </c>
      <c r="K1624" s="433">
        <f t="shared" si="133"/>
        <v>6.67</v>
      </c>
      <c r="L1624" s="433">
        <f t="shared" si="134"/>
        <v>0</v>
      </c>
      <c r="M1624" s="433">
        <f t="shared" si="135"/>
        <v>0</v>
      </c>
      <c r="N1624" s="672">
        <v>2</v>
      </c>
      <c r="O1624" s="729" t="e">
        <f>IF(N1624="",0,N1624*K1624/'9b-Vloeronderhoud'!$F$4)</f>
        <v>#DIV/0!</v>
      </c>
      <c r="P1624" s="672"/>
      <c r="Q1624" s="729" t="e">
        <f>IF(O1624="",0,P1624*L1624/'9b-Vloeronderhoud'!$F$6)</f>
        <v>#DIV/0!</v>
      </c>
      <c r="R1624" s="449">
        <v>1</v>
      </c>
      <c r="S1624" s="672">
        <v>120</v>
      </c>
      <c r="T1624" s="161" t="e">
        <f t="shared" si="131"/>
        <v>#DIV/0!</v>
      </c>
      <c r="U1624" s="162">
        <f>IF(S1624="nio",0,IF(S1624&gt;0,VLOOKUP(G1624,'3-Productie normen'!A:K,VLOOKUP(S1624,'3-Productie normen'!L:N,3,FALSE),FALSE)))</f>
        <v>0</v>
      </c>
      <c r="V1624" s="162">
        <f>VLOOKUP(G1624,'3-Productie normen'!A:K,10,FALSE)</f>
        <v>6152.9500017547598</v>
      </c>
      <c r="W1624" s="163">
        <f>VLOOKUP(G1624,'3-Productie normen'!A:K,11,FALSE)</f>
        <v>0</v>
      </c>
      <c r="X1624" s="163"/>
      <c r="Z1624" s="129">
        <f t="shared" si="132"/>
        <v>800.4</v>
      </c>
    </row>
    <row r="1625" spans="1:26" ht="14.1" customHeight="1">
      <c r="A1625" s="144">
        <v>1663</v>
      </c>
      <c r="B1625" s="485" t="s">
        <v>239</v>
      </c>
      <c r="C1625" s="159" t="s">
        <v>631</v>
      </c>
      <c r="D1625" s="304">
        <v>1</v>
      </c>
      <c r="E1625" s="702" t="s">
        <v>581</v>
      </c>
      <c r="F1625" s="160" t="s">
        <v>626</v>
      </c>
      <c r="G1625" s="122" t="s">
        <v>18</v>
      </c>
      <c r="H1625" s="303" t="s">
        <v>955</v>
      </c>
      <c r="I1625" s="582" t="str">
        <f>VLOOKUP(H1625,'9a-Typen vloeren'!$A$10:$B$40,2,FALSE)</f>
        <v>zie kwaliteitsontwerp</v>
      </c>
      <c r="J1625" s="586">
        <v>8.0500000000000007</v>
      </c>
      <c r="K1625" s="433">
        <f t="shared" si="133"/>
        <v>0</v>
      </c>
      <c r="L1625" s="433">
        <f t="shared" si="134"/>
        <v>0</v>
      </c>
      <c r="M1625" s="433">
        <f t="shared" si="135"/>
        <v>0</v>
      </c>
      <c r="N1625" s="672"/>
      <c r="O1625" s="729">
        <f>IF(N1625="",0,N1625*K1625/'9b-Vloeronderhoud'!$F$4)</f>
        <v>0</v>
      </c>
      <c r="P1625" s="672"/>
      <c r="Q1625" s="729" t="e">
        <f>IF(O1625="",0,P1625*L1625/'9b-Vloeronderhoud'!$F$6)</f>
        <v>#DIV/0!</v>
      </c>
      <c r="R1625" s="449">
        <v>1</v>
      </c>
      <c r="S1625" s="672">
        <v>190</v>
      </c>
      <c r="T1625" s="161" t="e">
        <f t="shared" si="131"/>
        <v>#DIV/0!</v>
      </c>
      <c r="U1625" s="162">
        <f>IF(S1625="nio",0,IF(S1625&gt;0,VLOOKUP(G1625,'3-Productie normen'!A:K,VLOOKUP(S1625,'3-Productie normen'!L:N,3,FALSE),FALSE)))</f>
        <v>0</v>
      </c>
      <c r="V1625" s="162">
        <f>VLOOKUP(G1625,'3-Productie normen'!A:K,10,FALSE)</f>
        <v>1859.5880019121171</v>
      </c>
      <c r="W1625" s="163">
        <f>VLOOKUP(G1625,'3-Productie normen'!A:K,11,FALSE)</f>
        <v>0</v>
      </c>
      <c r="X1625" s="163"/>
      <c r="Z1625" s="129">
        <f t="shared" si="132"/>
        <v>1529.5000000000002</v>
      </c>
    </row>
    <row r="1626" spans="1:26" ht="14.1" customHeight="1">
      <c r="A1626" s="144">
        <v>1664</v>
      </c>
      <c r="B1626" s="485" t="s">
        <v>239</v>
      </c>
      <c r="C1626" s="303" t="s">
        <v>631</v>
      </c>
      <c r="D1626" s="304">
        <v>1</v>
      </c>
      <c r="E1626" s="702" t="s">
        <v>583</v>
      </c>
      <c r="F1626" s="160" t="s">
        <v>382</v>
      </c>
      <c r="G1626" s="460" t="s">
        <v>861</v>
      </c>
      <c r="H1626" s="524" t="s">
        <v>100</v>
      </c>
      <c r="I1626" s="582" t="str">
        <f>VLOOKUP(H1626,'9a-Typen vloeren'!$A$10:$B$40,2,FALSE)</f>
        <v>Sprayen/ conserveren</v>
      </c>
      <c r="J1626" s="586">
        <v>11.81</v>
      </c>
      <c r="K1626" s="433">
        <f t="shared" si="133"/>
        <v>11.81</v>
      </c>
      <c r="L1626" s="433">
        <f t="shared" si="134"/>
        <v>0</v>
      </c>
      <c r="M1626" s="433">
        <f t="shared" si="135"/>
        <v>0</v>
      </c>
      <c r="N1626" s="672"/>
      <c r="O1626" s="729">
        <f>IF(N1626="",0,N1626*K1626/'9b-Vloeronderhoud'!$F$4)</f>
        <v>0</v>
      </c>
      <c r="P1626" s="672"/>
      <c r="Q1626" s="729" t="e">
        <f>IF(O1626="",0,P1626*L1626/'9b-Vloeronderhoud'!$F$6)</f>
        <v>#DIV/0!</v>
      </c>
      <c r="R1626" s="449">
        <v>1</v>
      </c>
      <c r="S1626" s="672" t="s">
        <v>179</v>
      </c>
      <c r="T1626" s="161">
        <f t="shared" si="131"/>
        <v>0</v>
      </c>
      <c r="U1626" s="162">
        <f>IF(S1626="nio",0,IF(S1626&gt;0,VLOOKUP(G1626,'3-Productie normen'!A:K,VLOOKUP(S1626,'3-Productie normen'!L:N,3,FALSE),FALSE)))</f>
        <v>0</v>
      </c>
      <c r="V1626" s="162">
        <f>VLOOKUP(G1626,'3-Productie normen'!A:K,10,FALSE)</f>
        <v>137.96000057220459</v>
      </c>
      <c r="W1626" s="163">
        <f>VLOOKUP(G1626,'3-Productie normen'!A:K,11,FALSE)</f>
        <v>0</v>
      </c>
      <c r="X1626" s="163"/>
      <c r="Z1626" s="129">
        <f t="shared" si="132"/>
        <v>0</v>
      </c>
    </row>
    <row r="1627" spans="1:26" ht="14.1" customHeight="1">
      <c r="A1627" s="144">
        <v>1665</v>
      </c>
      <c r="B1627" s="485" t="s">
        <v>239</v>
      </c>
      <c r="C1627" s="303" t="s">
        <v>631</v>
      </c>
      <c r="D1627" s="304">
        <v>1</v>
      </c>
      <c r="E1627" s="702" t="s">
        <v>628</v>
      </c>
      <c r="F1627" s="160" t="s">
        <v>626</v>
      </c>
      <c r="G1627" s="460" t="s">
        <v>18</v>
      </c>
      <c r="H1627" s="303" t="s">
        <v>955</v>
      </c>
      <c r="I1627" s="582" t="str">
        <f>VLOOKUP(H1627,'9a-Typen vloeren'!$A$10:$B$40,2,FALSE)</f>
        <v>zie kwaliteitsontwerp</v>
      </c>
      <c r="J1627" s="586">
        <v>9.39</v>
      </c>
      <c r="K1627" s="433">
        <f t="shared" si="133"/>
        <v>0</v>
      </c>
      <c r="L1627" s="433">
        <f t="shared" si="134"/>
        <v>0</v>
      </c>
      <c r="M1627" s="433">
        <f t="shared" si="135"/>
        <v>0</v>
      </c>
      <c r="N1627" s="672"/>
      <c r="O1627" s="729">
        <f>IF(N1627="",0,N1627*K1627/'9b-Vloeronderhoud'!$F$4)</f>
        <v>0</v>
      </c>
      <c r="P1627" s="672"/>
      <c r="Q1627" s="729" t="e">
        <f>IF(O1627="",0,P1627*L1627/'9b-Vloeronderhoud'!$F$6)</f>
        <v>#DIV/0!</v>
      </c>
      <c r="R1627" s="449">
        <v>1</v>
      </c>
      <c r="S1627" s="672">
        <v>190</v>
      </c>
      <c r="T1627" s="161" t="e">
        <f t="shared" si="131"/>
        <v>#DIV/0!</v>
      </c>
      <c r="U1627" s="162">
        <f>IF(S1627="nio",0,IF(S1627&gt;0,VLOOKUP(G1627,'3-Productie normen'!A:K,VLOOKUP(S1627,'3-Productie normen'!L:N,3,FALSE),FALSE)))</f>
        <v>0</v>
      </c>
      <c r="V1627" s="162">
        <f>VLOOKUP(G1627,'3-Productie normen'!A:K,10,FALSE)</f>
        <v>1859.5880019121171</v>
      </c>
      <c r="W1627" s="163">
        <f>VLOOKUP(G1627,'3-Productie normen'!A:K,11,FALSE)</f>
        <v>0</v>
      </c>
      <c r="X1627" s="163"/>
      <c r="Z1627" s="129">
        <f t="shared" si="132"/>
        <v>1784.1000000000001</v>
      </c>
    </row>
    <row r="1628" spans="1:26" ht="14.1" customHeight="1">
      <c r="A1628" s="144">
        <v>1666</v>
      </c>
      <c r="B1628" s="485" t="s">
        <v>239</v>
      </c>
      <c r="C1628" s="303" t="s">
        <v>631</v>
      </c>
      <c r="D1628" s="304">
        <v>1</v>
      </c>
      <c r="E1628" s="702" t="s">
        <v>363</v>
      </c>
      <c r="F1628" s="160" t="s">
        <v>267</v>
      </c>
      <c r="G1628" s="122" t="s">
        <v>18</v>
      </c>
      <c r="H1628" s="303" t="s">
        <v>955</v>
      </c>
      <c r="I1628" s="582" t="str">
        <f>VLOOKUP(H1628,'9a-Typen vloeren'!$A$10:$B$40,2,FALSE)</f>
        <v>zie kwaliteitsontwerp</v>
      </c>
      <c r="J1628" s="595">
        <v>1.5</v>
      </c>
      <c r="K1628" s="433">
        <f t="shared" si="133"/>
        <v>0</v>
      </c>
      <c r="L1628" s="433">
        <f t="shared" si="134"/>
        <v>0</v>
      </c>
      <c r="M1628" s="433">
        <f t="shared" si="135"/>
        <v>0</v>
      </c>
      <c r="N1628" s="672"/>
      <c r="O1628" s="729">
        <f>IF(N1628="",0,N1628*K1628/'9b-Vloeronderhoud'!$F$4)</f>
        <v>0</v>
      </c>
      <c r="P1628" s="672"/>
      <c r="Q1628" s="729" t="e">
        <f>IF(O1628="",0,P1628*L1628/'9b-Vloeronderhoud'!$F$6)</f>
        <v>#DIV/0!</v>
      </c>
      <c r="R1628" s="449">
        <v>1</v>
      </c>
      <c r="S1628" s="672">
        <v>190</v>
      </c>
      <c r="T1628" s="161" t="e">
        <f t="shared" si="131"/>
        <v>#DIV/0!</v>
      </c>
      <c r="U1628" s="162">
        <f>IF(S1628="nio",0,IF(S1628&gt;0,VLOOKUP(G1628,'3-Productie normen'!A:K,VLOOKUP(S1628,'3-Productie normen'!L:N,3,FALSE),FALSE)))</f>
        <v>0</v>
      </c>
      <c r="V1628" s="162">
        <f>VLOOKUP(G1628,'3-Productie normen'!A:K,10,FALSE)</f>
        <v>1859.5880019121171</v>
      </c>
      <c r="W1628" s="163">
        <f>VLOOKUP(G1628,'3-Productie normen'!A:K,11,FALSE)</f>
        <v>0</v>
      </c>
      <c r="X1628" s="163"/>
      <c r="Z1628" s="129">
        <f t="shared" si="132"/>
        <v>285</v>
      </c>
    </row>
    <row r="1629" spans="1:26" ht="14.1" customHeight="1">
      <c r="A1629" s="144">
        <v>1667</v>
      </c>
      <c r="B1629" s="485" t="s">
        <v>239</v>
      </c>
      <c r="C1629" s="303" t="s">
        <v>631</v>
      </c>
      <c r="D1629" s="304">
        <v>1</v>
      </c>
      <c r="E1629" s="702"/>
      <c r="F1629" s="160" t="s">
        <v>629</v>
      </c>
      <c r="G1629" s="460" t="s">
        <v>881</v>
      </c>
      <c r="H1629" s="504" t="s">
        <v>375</v>
      </c>
      <c r="I1629" s="582" t="str">
        <f>VLOOKUP(H1629,'9a-Typen vloeren'!$A$10:$B$40,2,FALSE)</f>
        <v>n.v.t.</v>
      </c>
      <c r="J1629" s="595"/>
      <c r="K1629" s="433">
        <f t="shared" si="133"/>
        <v>0</v>
      </c>
      <c r="L1629" s="433">
        <f t="shared" si="134"/>
        <v>0</v>
      </c>
      <c r="M1629" s="433">
        <f t="shared" si="135"/>
        <v>0</v>
      </c>
      <c r="N1629" s="672"/>
      <c r="O1629" s="729">
        <f>IF(N1629="",0,N1629*K1629/'9b-Vloeronderhoud'!$F$4)</f>
        <v>0</v>
      </c>
      <c r="P1629" s="672"/>
      <c r="Q1629" s="729" t="e">
        <f>IF(O1629="",0,P1629*L1629/'9b-Vloeronderhoud'!$F$6)</f>
        <v>#DIV/0!</v>
      </c>
      <c r="R1629" s="449">
        <v>1</v>
      </c>
      <c r="S1629" s="672" t="s">
        <v>179</v>
      </c>
      <c r="T1629" s="161">
        <f t="shared" si="131"/>
        <v>0</v>
      </c>
      <c r="U1629" s="162">
        <f>IF(S1629="nio",0,IF(S1629&gt;0,VLOOKUP(G1629,'3-Productie normen'!A:K,VLOOKUP(S1629,'3-Productie normen'!L:N,3,FALSE),FALSE)))</f>
        <v>0</v>
      </c>
      <c r="V1629" s="162">
        <f>VLOOKUP(G1629,'3-Productie normen'!A:K,10,FALSE)</f>
        <v>5262.809993648526</v>
      </c>
      <c r="W1629" s="163">
        <f>VLOOKUP(G1629,'3-Productie normen'!A:K,11,FALSE)</f>
        <v>0</v>
      </c>
      <c r="X1629" s="163"/>
      <c r="Z1629" s="129">
        <f t="shared" si="132"/>
        <v>0</v>
      </c>
    </row>
    <row r="1630" spans="1:26" ht="14.1" customHeight="1">
      <c r="A1630" s="144">
        <v>1668</v>
      </c>
      <c r="B1630" s="485" t="s">
        <v>239</v>
      </c>
      <c r="C1630" s="303" t="s">
        <v>631</v>
      </c>
      <c r="D1630" s="304">
        <v>1</v>
      </c>
      <c r="E1630" s="702" t="s">
        <v>364</v>
      </c>
      <c r="F1630" s="160" t="s">
        <v>630</v>
      </c>
      <c r="G1630" s="460" t="s">
        <v>881</v>
      </c>
      <c r="H1630" s="524" t="s">
        <v>333</v>
      </c>
      <c r="I1630" s="582" t="str">
        <f>VLOOKUP(H1630,'9a-Typen vloeren'!$A$10:$B$40,2,FALSE)</f>
        <v>Schrobben</v>
      </c>
      <c r="J1630" s="586">
        <v>1.37</v>
      </c>
      <c r="K1630" s="433">
        <f t="shared" si="133"/>
        <v>0</v>
      </c>
      <c r="L1630" s="433">
        <f t="shared" si="134"/>
        <v>0</v>
      </c>
      <c r="M1630" s="433">
        <f t="shared" si="135"/>
        <v>0</v>
      </c>
      <c r="N1630" s="672"/>
      <c r="O1630" s="729">
        <f>IF(N1630="",0,N1630*K1630/'9b-Vloeronderhoud'!$F$4)</f>
        <v>0</v>
      </c>
      <c r="P1630" s="672"/>
      <c r="Q1630" s="729" t="e">
        <f>IF(O1630="",0,P1630*L1630/'9b-Vloeronderhoud'!$F$6)</f>
        <v>#DIV/0!</v>
      </c>
      <c r="R1630" s="449">
        <v>1</v>
      </c>
      <c r="S1630" s="672" t="s">
        <v>179</v>
      </c>
      <c r="T1630" s="161">
        <f t="shared" si="131"/>
        <v>0</v>
      </c>
      <c r="U1630" s="162">
        <f>IF(S1630="nio",0,IF(S1630&gt;0,VLOOKUP(G1630,'3-Productie normen'!A:K,VLOOKUP(S1630,'3-Productie normen'!L:N,3,FALSE),FALSE)))</f>
        <v>0</v>
      </c>
      <c r="V1630" s="162">
        <f>VLOOKUP(G1630,'3-Productie normen'!A:K,10,FALSE)</f>
        <v>5262.809993648526</v>
      </c>
      <c r="W1630" s="163">
        <f>VLOOKUP(G1630,'3-Productie normen'!A:K,11,FALSE)</f>
        <v>0</v>
      </c>
      <c r="X1630" s="163"/>
      <c r="Z1630" s="129">
        <f t="shared" si="132"/>
        <v>0</v>
      </c>
    </row>
    <row r="1631" spans="1:26" ht="14.1" customHeight="1">
      <c r="A1631" s="144">
        <v>1669</v>
      </c>
      <c r="B1631" s="485" t="s">
        <v>239</v>
      </c>
      <c r="C1631" s="303" t="s">
        <v>631</v>
      </c>
      <c r="D1631" s="304">
        <v>1</v>
      </c>
      <c r="E1631" s="702" t="s">
        <v>366</v>
      </c>
      <c r="F1631" s="160" t="s">
        <v>221</v>
      </c>
      <c r="G1631" s="460" t="s">
        <v>221</v>
      </c>
      <c r="H1631" s="524" t="s">
        <v>100</v>
      </c>
      <c r="I1631" s="582" t="str">
        <f>VLOOKUP(H1631,'9a-Typen vloeren'!$A$10:$B$40,2,FALSE)</f>
        <v>Sprayen/ conserveren</v>
      </c>
      <c r="J1631" s="586">
        <v>54.3</v>
      </c>
      <c r="K1631" s="433">
        <f t="shared" si="133"/>
        <v>54.3</v>
      </c>
      <c r="L1631" s="433">
        <f t="shared" si="134"/>
        <v>0</v>
      </c>
      <c r="M1631" s="433">
        <f t="shared" si="135"/>
        <v>0</v>
      </c>
      <c r="N1631" s="672"/>
      <c r="O1631" s="729">
        <f>IF(N1631="",0,N1631*K1631/'9b-Vloeronderhoud'!$F$4)</f>
        <v>0</v>
      </c>
      <c r="P1631" s="672"/>
      <c r="Q1631" s="729" t="e">
        <f>IF(O1631="",0,P1631*L1631/'9b-Vloeronderhoud'!$F$6)</f>
        <v>#DIV/0!</v>
      </c>
      <c r="R1631" s="449">
        <v>1</v>
      </c>
      <c r="S1631" s="688" t="s">
        <v>179</v>
      </c>
      <c r="T1631" s="161">
        <f t="shared" si="131"/>
        <v>0</v>
      </c>
      <c r="U1631" s="162">
        <f>IF(S1631="nio",0,IF(S1631&gt;0,VLOOKUP(G1631,'3-Productie normen'!A:K,VLOOKUP(S1631,'3-Productie normen'!L:N,3,FALSE),FALSE)))</f>
        <v>0</v>
      </c>
      <c r="V1631" s="162">
        <f>VLOOKUP(G1631,'3-Productie normen'!A:K,10,FALSE)</f>
        <v>16013.110036668773</v>
      </c>
      <c r="W1631" s="163">
        <f>VLOOKUP(G1631,'3-Productie normen'!A:K,11,FALSE)</f>
        <v>0</v>
      </c>
      <c r="X1631" s="163"/>
      <c r="Z1631" s="129">
        <f t="shared" si="132"/>
        <v>0</v>
      </c>
    </row>
    <row r="1632" spans="1:26" ht="14.1" customHeight="1">
      <c r="A1632" s="144">
        <v>1670</v>
      </c>
      <c r="B1632" s="485" t="s">
        <v>239</v>
      </c>
      <c r="C1632" s="303" t="s">
        <v>631</v>
      </c>
      <c r="D1632" s="304">
        <v>1</v>
      </c>
      <c r="E1632" s="702" t="s">
        <v>367</v>
      </c>
      <c r="F1632" s="160" t="s">
        <v>221</v>
      </c>
      <c r="G1632" s="303" t="s">
        <v>221</v>
      </c>
      <c r="H1632" s="524" t="s">
        <v>100</v>
      </c>
      <c r="I1632" s="582" t="str">
        <f>VLOOKUP(H1632,'9a-Typen vloeren'!$A$10:$B$40,2,FALSE)</f>
        <v>Sprayen/ conserveren</v>
      </c>
      <c r="J1632" s="586">
        <v>54.3</v>
      </c>
      <c r="K1632" s="433">
        <f t="shared" si="133"/>
        <v>54.3</v>
      </c>
      <c r="L1632" s="433">
        <f t="shared" si="134"/>
        <v>0</v>
      </c>
      <c r="M1632" s="433">
        <f t="shared" si="135"/>
        <v>0</v>
      </c>
      <c r="N1632" s="672"/>
      <c r="O1632" s="729">
        <f>IF(N1632="",0,N1632*K1632/'9b-Vloeronderhoud'!$F$4)</f>
        <v>0</v>
      </c>
      <c r="P1632" s="672"/>
      <c r="Q1632" s="729" t="e">
        <f>IF(O1632="",0,P1632*L1632/'9b-Vloeronderhoud'!$F$6)</f>
        <v>#DIV/0!</v>
      </c>
      <c r="R1632" s="449">
        <v>1</v>
      </c>
      <c r="S1632" s="688" t="s">
        <v>179</v>
      </c>
      <c r="T1632" s="161">
        <f t="shared" si="131"/>
        <v>0</v>
      </c>
      <c r="U1632" s="162">
        <f>IF(S1632="nio",0,IF(S1632&gt;0,VLOOKUP(G1632,'3-Productie normen'!A:K,VLOOKUP(S1632,'3-Productie normen'!L:N,3,FALSE),FALSE)))</f>
        <v>0</v>
      </c>
      <c r="V1632" s="162">
        <f>VLOOKUP(G1632,'3-Productie normen'!A:K,10,FALSE)</f>
        <v>16013.110036668773</v>
      </c>
      <c r="W1632" s="163">
        <f>VLOOKUP(G1632,'3-Productie normen'!A:K,11,FALSE)</f>
        <v>0</v>
      </c>
      <c r="X1632" s="163"/>
      <c r="Z1632" s="129">
        <f t="shared" si="132"/>
        <v>0</v>
      </c>
    </row>
    <row r="1633" spans="1:26" ht="14.1" customHeight="1">
      <c r="A1633" s="144">
        <v>1671</v>
      </c>
      <c r="B1633" s="485" t="s">
        <v>239</v>
      </c>
      <c r="C1633" s="303" t="s">
        <v>631</v>
      </c>
      <c r="D1633" s="304">
        <v>1</v>
      </c>
      <c r="E1633" s="702" t="s">
        <v>368</v>
      </c>
      <c r="F1633" s="160" t="s">
        <v>287</v>
      </c>
      <c r="G1633" s="122" t="s">
        <v>287</v>
      </c>
      <c r="H1633" s="524" t="s">
        <v>934</v>
      </c>
      <c r="I1633" s="582" t="str">
        <f>VLOOKUP(H1633,'9a-Typen vloeren'!$A$10:$B$40,2,FALSE)</f>
        <v>n.v.t.</v>
      </c>
      <c r="J1633" s="586">
        <v>8.23</v>
      </c>
      <c r="K1633" s="433">
        <f t="shared" si="133"/>
        <v>0</v>
      </c>
      <c r="L1633" s="433">
        <f t="shared" si="134"/>
        <v>0</v>
      </c>
      <c r="M1633" s="433">
        <f t="shared" si="135"/>
        <v>0</v>
      </c>
      <c r="N1633" s="672"/>
      <c r="O1633" s="729">
        <f>IF(N1633="",0,N1633*K1633/'9b-Vloeronderhoud'!$F$4)</f>
        <v>0</v>
      </c>
      <c r="P1633" s="672"/>
      <c r="Q1633" s="729" t="e">
        <f>IF(O1633="",0,P1633*L1633/'9b-Vloeronderhoud'!$F$6)</f>
        <v>#DIV/0!</v>
      </c>
      <c r="R1633" s="449">
        <v>1</v>
      </c>
      <c r="S1633" s="672">
        <v>80</v>
      </c>
      <c r="T1633" s="161" t="e">
        <f t="shared" si="131"/>
        <v>#DIV/0!</v>
      </c>
      <c r="U1633" s="162">
        <f>IF(S1633="nio",0,IF(S1633&gt;0,VLOOKUP(G1633,'3-Productie normen'!A:K,VLOOKUP(S1633,'3-Productie normen'!L:N,3,FALSE),FALSE)))</f>
        <v>0</v>
      </c>
      <c r="V1633" s="162">
        <f>VLOOKUP(G1633,'3-Productie normen'!A:K,10,FALSE)</f>
        <v>519.460002565384</v>
      </c>
      <c r="W1633" s="163">
        <f>VLOOKUP(G1633,'3-Productie normen'!A:K,11,FALSE)</f>
        <v>0</v>
      </c>
      <c r="X1633" s="163"/>
      <c r="Z1633" s="129">
        <f t="shared" si="132"/>
        <v>658.40000000000009</v>
      </c>
    </row>
    <row r="1634" spans="1:26" ht="14.1" customHeight="1">
      <c r="A1634" s="144">
        <v>1672</v>
      </c>
      <c r="B1634" s="485" t="s">
        <v>239</v>
      </c>
      <c r="C1634" s="303" t="s">
        <v>631</v>
      </c>
      <c r="D1634" s="304">
        <v>1</v>
      </c>
      <c r="E1634" s="702" t="s">
        <v>369</v>
      </c>
      <c r="F1634" s="160" t="s">
        <v>221</v>
      </c>
      <c r="G1634" s="122" t="s">
        <v>221</v>
      </c>
      <c r="H1634" s="524" t="s">
        <v>100</v>
      </c>
      <c r="I1634" s="582" t="str">
        <f>VLOOKUP(H1634,'9a-Typen vloeren'!$A$10:$B$40,2,FALSE)</f>
        <v>Sprayen/ conserveren</v>
      </c>
      <c r="J1634" s="586">
        <v>51.03</v>
      </c>
      <c r="K1634" s="433">
        <f t="shared" si="133"/>
        <v>51.03</v>
      </c>
      <c r="L1634" s="433">
        <f t="shared" si="134"/>
        <v>0</v>
      </c>
      <c r="M1634" s="433">
        <f t="shared" si="135"/>
        <v>0</v>
      </c>
      <c r="N1634" s="672"/>
      <c r="O1634" s="729">
        <f>IF(N1634="",0,N1634*K1634/'9b-Vloeronderhoud'!$F$4)</f>
        <v>0</v>
      </c>
      <c r="P1634" s="672"/>
      <c r="Q1634" s="729" t="e">
        <f>IF(O1634="",0,P1634*L1634/'9b-Vloeronderhoud'!$F$6)</f>
        <v>#DIV/0!</v>
      </c>
      <c r="R1634" s="449">
        <v>1</v>
      </c>
      <c r="S1634" s="688" t="s">
        <v>179</v>
      </c>
      <c r="T1634" s="161">
        <f t="shared" si="131"/>
        <v>0</v>
      </c>
      <c r="U1634" s="162">
        <f>IF(S1634="nio",0,IF(S1634&gt;0,VLOOKUP(G1634,'3-Productie normen'!A:K,VLOOKUP(S1634,'3-Productie normen'!L:N,3,FALSE),FALSE)))</f>
        <v>0</v>
      </c>
      <c r="V1634" s="162">
        <f>VLOOKUP(G1634,'3-Productie normen'!A:K,10,FALSE)</f>
        <v>16013.110036668773</v>
      </c>
      <c r="W1634" s="163">
        <f>VLOOKUP(G1634,'3-Productie normen'!A:K,11,FALSE)</f>
        <v>0</v>
      </c>
      <c r="X1634" s="163"/>
      <c r="Z1634" s="129">
        <f t="shared" si="132"/>
        <v>0</v>
      </c>
    </row>
    <row r="1635" spans="1:26" ht="14.1" customHeight="1">
      <c r="A1635" s="144">
        <v>1673</v>
      </c>
      <c r="B1635" s="485" t="s">
        <v>253</v>
      </c>
      <c r="C1635" s="303" t="s">
        <v>762</v>
      </c>
      <c r="D1635" s="304" t="s">
        <v>98</v>
      </c>
      <c r="E1635" s="694" t="s">
        <v>294</v>
      </c>
      <c r="F1635" s="303" t="s">
        <v>99</v>
      </c>
      <c r="G1635" s="460" t="s">
        <v>99</v>
      </c>
      <c r="H1635" s="516" t="s">
        <v>802</v>
      </c>
      <c r="I1635" s="582" t="str">
        <f>VLOOKUP(H1635,'9a-Typen vloeren'!$A$10:$B$40,2,FALSE)</f>
        <v>n.v.t.</v>
      </c>
      <c r="J1635" s="433">
        <v>3.7</v>
      </c>
      <c r="K1635" s="433">
        <f t="shared" si="133"/>
        <v>0</v>
      </c>
      <c r="L1635" s="433">
        <f t="shared" si="134"/>
        <v>0</v>
      </c>
      <c r="M1635" s="433">
        <f t="shared" si="135"/>
        <v>0</v>
      </c>
      <c r="N1635" s="672"/>
      <c r="O1635" s="729">
        <f>IF(N1635="",0,N1635*K1635/'9b-Vloeronderhoud'!$F$4)</f>
        <v>0</v>
      </c>
      <c r="P1635" s="672"/>
      <c r="Q1635" s="729" t="e">
        <f>IF(O1635="",0,P1635*L1635/'9b-Vloeronderhoud'!$F$6)</f>
        <v>#DIV/0!</v>
      </c>
      <c r="R1635" s="449">
        <v>1</v>
      </c>
      <c r="S1635" s="672">
        <v>190</v>
      </c>
      <c r="T1635" s="161" t="e">
        <f t="shared" si="131"/>
        <v>#DIV/0!</v>
      </c>
      <c r="U1635" s="162">
        <f>IF(S1635="nio",0,IF(S1635&gt;0,VLOOKUP(G1635,'3-Productie normen'!A:K,VLOOKUP(S1635,'3-Productie normen'!L:N,3,FALSE),FALSE)))</f>
        <v>0</v>
      </c>
      <c r="V1635" s="162">
        <f>VLOOKUP(G1635,'3-Productie normen'!A:K,10,FALSE)</f>
        <v>726.97999910354622</v>
      </c>
      <c r="W1635" s="163">
        <f>VLOOKUP(G1635,'3-Productie normen'!A:K,11,FALSE)</f>
        <v>0</v>
      </c>
      <c r="X1635" s="163"/>
      <c r="Z1635" s="129">
        <f t="shared" si="132"/>
        <v>703</v>
      </c>
    </row>
    <row r="1636" spans="1:26" ht="14.1" customHeight="1">
      <c r="A1636" s="144">
        <v>1674</v>
      </c>
      <c r="B1636" s="485" t="s">
        <v>253</v>
      </c>
      <c r="C1636" s="303" t="s">
        <v>762</v>
      </c>
      <c r="D1636" s="304" t="s">
        <v>98</v>
      </c>
      <c r="E1636" s="694" t="s">
        <v>295</v>
      </c>
      <c r="F1636" s="303" t="s">
        <v>283</v>
      </c>
      <c r="G1636" s="460" t="s">
        <v>286</v>
      </c>
      <c r="H1636" s="516" t="s">
        <v>101</v>
      </c>
      <c r="I1636" s="582" t="str">
        <f>VLOOKUP(H1636,'9a-Typen vloeren'!$A$10:$B$40,2,FALSE)</f>
        <v>Schrobben</v>
      </c>
      <c r="J1636" s="433">
        <v>79.8</v>
      </c>
      <c r="K1636" s="433">
        <f t="shared" si="133"/>
        <v>0</v>
      </c>
      <c r="L1636" s="433">
        <f t="shared" si="134"/>
        <v>79.8</v>
      </c>
      <c r="M1636" s="433">
        <f t="shared" si="135"/>
        <v>0</v>
      </c>
      <c r="N1636" s="672"/>
      <c r="O1636" s="729">
        <f>IF(N1636="",0,N1636*K1636/'9b-Vloeronderhoud'!$F$4)</f>
        <v>0</v>
      </c>
      <c r="P1636" s="672">
        <v>3</v>
      </c>
      <c r="Q1636" s="729" t="e">
        <f>IF(O1636="",0,P1636*L1636/'9b-Vloeronderhoud'!$F$6)</f>
        <v>#DIV/0!</v>
      </c>
      <c r="R1636" s="449">
        <v>1</v>
      </c>
      <c r="S1636" s="672">
        <v>120</v>
      </c>
      <c r="T1636" s="161" t="e">
        <f t="shared" si="131"/>
        <v>#DIV/0!</v>
      </c>
      <c r="U1636" s="162">
        <f>IF(S1636="nio",0,IF(S1636&gt;0,VLOOKUP(G1636,'3-Productie normen'!A:K,VLOOKUP(S1636,'3-Productie normen'!L:N,3,FALSE),FALSE)))</f>
        <v>0</v>
      </c>
      <c r="V1636" s="162">
        <f>VLOOKUP(G1636,'3-Productie normen'!A:K,10,FALSE)</f>
        <v>6152.9500017547598</v>
      </c>
      <c r="W1636" s="163">
        <f>VLOOKUP(G1636,'3-Productie normen'!A:K,11,FALSE)</f>
        <v>0</v>
      </c>
      <c r="X1636" s="163"/>
      <c r="Z1636" s="129">
        <f t="shared" si="132"/>
        <v>9576</v>
      </c>
    </row>
    <row r="1637" spans="1:26" ht="14.1" customHeight="1">
      <c r="A1637" s="144">
        <v>1675</v>
      </c>
      <c r="B1637" s="485" t="s">
        <v>253</v>
      </c>
      <c r="C1637" s="303" t="s">
        <v>762</v>
      </c>
      <c r="D1637" s="304" t="s">
        <v>98</v>
      </c>
      <c r="E1637" s="694" t="s">
        <v>296</v>
      </c>
      <c r="F1637" s="494" t="s">
        <v>470</v>
      </c>
      <c r="G1637" s="122" t="s">
        <v>221</v>
      </c>
      <c r="H1637" s="516" t="s">
        <v>100</v>
      </c>
      <c r="I1637" s="582" t="str">
        <f>VLOOKUP(H1637,'9a-Typen vloeren'!$A$10:$B$40,2,FALSE)</f>
        <v>Sprayen/ conserveren</v>
      </c>
      <c r="J1637" s="433">
        <v>60.1</v>
      </c>
      <c r="K1637" s="433">
        <f t="shared" ref="K1637:K1668" si="136">IF(G1637="niet in onderhoud",0,IF(I1637="sprayen/ conserveren",J1637,0))</f>
        <v>60.1</v>
      </c>
      <c r="L1637" s="433">
        <f t="shared" ref="L1637:L1668" si="137">IF(G1637="niet in onderhoud",0,IF(I1637="schrobben",J1637,0))</f>
        <v>0</v>
      </c>
      <c r="M1637" s="433">
        <f t="shared" ref="M1637:M1668" si="138">IF(G1637="niet in onderhoud",0,IF(I1637="Sproei/extraheren",J1637,0))</f>
        <v>0</v>
      </c>
      <c r="N1637" s="672"/>
      <c r="O1637" s="729">
        <f>IF(N1637="",0,N1637*K1637/'9b-Vloeronderhoud'!$F$4)</f>
        <v>0</v>
      </c>
      <c r="P1637" s="672"/>
      <c r="Q1637" s="729" t="e">
        <f>IF(O1637="",0,P1637*L1637/'9b-Vloeronderhoud'!$F$6)</f>
        <v>#DIV/0!</v>
      </c>
      <c r="R1637" s="449">
        <v>1</v>
      </c>
      <c r="S1637" s="672">
        <v>80</v>
      </c>
      <c r="T1637" s="161" t="e">
        <f t="shared" si="131"/>
        <v>#DIV/0!</v>
      </c>
      <c r="U1637" s="162">
        <f>IF(S1637="nio",0,IF(S1637&gt;0,VLOOKUP(G1637,'3-Productie normen'!A:K,VLOOKUP(S1637,'3-Productie normen'!L:N,3,FALSE),FALSE)))</f>
        <v>0</v>
      </c>
      <c r="V1637" s="162">
        <f>VLOOKUP(G1637,'3-Productie normen'!A:K,10,FALSE)</f>
        <v>16013.110036668773</v>
      </c>
      <c r="W1637" s="163">
        <f>VLOOKUP(G1637,'3-Productie normen'!A:K,11,FALSE)</f>
        <v>0</v>
      </c>
      <c r="X1637" s="163"/>
      <c r="Z1637" s="129">
        <f t="shared" si="132"/>
        <v>4808</v>
      </c>
    </row>
    <row r="1638" spans="1:26" ht="14.1" customHeight="1">
      <c r="A1638" s="144">
        <v>1676</v>
      </c>
      <c r="B1638" s="485" t="s">
        <v>253</v>
      </c>
      <c r="C1638" s="303" t="s">
        <v>762</v>
      </c>
      <c r="D1638" s="304" t="s">
        <v>98</v>
      </c>
      <c r="E1638" s="694" t="s">
        <v>298</v>
      </c>
      <c r="F1638" s="303" t="s">
        <v>470</v>
      </c>
      <c r="G1638" s="460" t="s">
        <v>221</v>
      </c>
      <c r="H1638" s="516" t="s">
        <v>100</v>
      </c>
      <c r="I1638" s="582" t="str">
        <f>VLOOKUP(H1638,'9a-Typen vloeren'!$A$10:$B$40,2,FALSE)</f>
        <v>Sprayen/ conserveren</v>
      </c>
      <c r="J1638" s="433">
        <v>60.1</v>
      </c>
      <c r="K1638" s="433">
        <f t="shared" si="136"/>
        <v>60.1</v>
      </c>
      <c r="L1638" s="433">
        <f t="shared" si="137"/>
        <v>0</v>
      </c>
      <c r="M1638" s="433">
        <f t="shared" si="138"/>
        <v>0</v>
      </c>
      <c r="N1638" s="672"/>
      <c r="O1638" s="729">
        <f>IF(N1638="",0,N1638*K1638/'9b-Vloeronderhoud'!$F$4)</f>
        <v>0</v>
      </c>
      <c r="P1638" s="672"/>
      <c r="Q1638" s="729" t="e">
        <f>IF(O1638="",0,P1638*L1638/'9b-Vloeronderhoud'!$F$6)</f>
        <v>#DIV/0!</v>
      </c>
      <c r="R1638" s="449">
        <v>1</v>
      </c>
      <c r="S1638" s="672">
        <v>80</v>
      </c>
      <c r="T1638" s="161" t="e">
        <f t="shared" si="131"/>
        <v>#DIV/0!</v>
      </c>
      <c r="U1638" s="162">
        <f>IF(S1638="nio",0,IF(S1638&gt;0,VLOOKUP(G1638,'3-Productie normen'!A:K,VLOOKUP(S1638,'3-Productie normen'!L:N,3,FALSE),FALSE)))</f>
        <v>0</v>
      </c>
      <c r="V1638" s="162">
        <f>VLOOKUP(G1638,'3-Productie normen'!A:K,10,FALSE)</f>
        <v>16013.110036668773</v>
      </c>
      <c r="W1638" s="163">
        <f>VLOOKUP(G1638,'3-Productie normen'!A:K,11,FALSE)</f>
        <v>0</v>
      </c>
      <c r="X1638" s="163"/>
      <c r="Z1638" s="129">
        <f t="shared" si="132"/>
        <v>4808</v>
      </c>
    </row>
    <row r="1639" spans="1:26" ht="14.1" customHeight="1">
      <c r="A1639" s="144">
        <v>1677</v>
      </c>
      <c r="B1639" s="485" t="s">
        <v>253</v>
      </c>
      <c r="C1639" s="303" t="s">
        <v>762</v>
      </c>
      <c r="D1639" s="304" t="s">
        <v>98</v>
      </c>
      <c r="E1639" s="694" t="s">
        <v>301</v>
      </c>
      <c r="F1639" s="303" t="s">
        <v>470</v>
      </c>
      <c r="G1639" s="460" t="s">
        <v>221</v>
      </c>
      <c r="H1639" s="516" t="s">
        <v>100</v>
      </c>
      <c r="I1639" s="582" t="str">
        <f>VLOOKUP(H1639,'9a-Typen vloeren'!$A$10:$B$40,2,FALSE)</f>
        <v>Sprayen/ conserveren</v>
      </c>
      <c r="J1639" s="433">
        <v>60.1</v>
      </c>
      <c r="K1639" s="433">
        <f t="shared" si="136"/>
        <v>60.1</v>
      </c>
      <c r="L1639" s="433">
        <f t="shared" si="137"/>
        <v>0</v>
      </c>
      <c r="M1639" s="433">
        <f t="shared" si="138"/>
        <v>0</v>
      </c>
      <c r="N1639" s="672"/>
      <c r="O1639" s="729">
        <f>IF(N1639="",0,N1639*K1639/'9b-Vloeronderhoud'!$F$4)</f>
        <v>0</v>
      </c>
      <c r="P1639" s="672"/>
      <c r="Q1639" s="729" t="e">
        <f>IF(O1639="",0,P1639*L1639/'9b-Vloeronderhoud'!$F$6)</f>
        <v>#DIV/0!</v>
      </c>
      <c r="R1639" s="449">
        <v>1</v>
      </c>
      <c r="S1639" s="672">
        <v>80</v>
      </c>
      <c r="T1639" s="161" t="e">
        <f t="shared" si="131"/>
        <v>#DIV/0!</v>
      </c>
      <c r="U1639" s="162">
        <f>IF(S1639="nio",0,IF(S1639&gt;0,VLOOKUP(G1639,'3-Productie normen'!A:K,VLOOKUP(S1639,'3-Productie normen'!L:N,3,FALSE),FALSE)))</f>
        <v>0</v>
      </c>
      <c r="V1639" s="162">
        <f>VLOOKUP(G1639,'3-Productie normen'!A:K,10,FALSE)</f>
        <v>16013.110036668773</v>
      </c>
      <c r="W1639" s="163">
        <f>VLOOKUP(G1639,'3-Productie normen'!A:K,11,FALSE)</f>
        <v>0</v>
      </c>
      <c r="X1639" s="163"/>
      <c r="Z1639" s="129">
        <f t="shared" si="132"/>
        <v>4808</v>
      </c>
    </row>
    <row r="1640" spans="1:26" ht="14.1" customHeight="1">
      <c r="A1640" s="144">
        <v>1678</v>
      </c>
      <c r="B1640" s="485" t="s">
        <v>253</v>
      </c>
      <c r="C1640" s="303" t="s">
        <v>762</v>
      </c>
      <c r="D1640" s="304" t="s">
        <v>98</v>
      </c>
      <c r="E1640" s="694" t="s">
        <v>303</v>
      </c>
      <c r="F1640" s="303" t="s">
        <v>470</v>
      </c>
      <c r="G1640" s="122" t="s">
        <v>221</v>
      </c>
      <c r="H1640" s="516" t="s">
        <v>100</v>
      </c>
      <c r="I1640" s="582" t="str">
        <f>VLOOKUP(H1640,'9a-Typen vloeren'!$A$10:$B$40,2,FALSE)</f>
        <v>Sprayen/ conserveren</v>
      </c>
      <c r="J1640" s="433">
        <v>60.1</v>
      </c>
      <c r="K1640" s="433">
        <f t="shared" si="136"/>
        <v>60.1</v>
      </c>
      <c r="L1640" s="433">
        <f t="shared" si="137"/>
        <v>0</v>
      </c>
      <c r="M1640" s="433">
        <f t="shared" si="138"/>
        <v>0</v>
      </c>
      <c r="N1640" s="672"/>
      <c r="O1640" s="729">
        <f>IF(N1640="",0,N1640*K1640/'9b-Vloeronderhoud'!$F$4)</f>
        <v>0</v>
      </c>
      <c r="P1640" s="672"/>
      <c r="Q1640" s="729" t="e">
        <f>IF(O1640="",0,P1640*L1640/'9b-Vloeronderhoud'!$F$6)</f>
        <v>#DIV/0!</v>
      </c>
      <c r="R1640" s="449">
        <v>1</v>
      </c>
      <c r="S1640" s="672">
        <v>80</v>
      </c>
      <c r="T1640" s="161" t="e">
        <f t="shared" si="131"/>
        <v>#DIV/0!</v>
      </c>
      <c r="U1640" s="162">
        <f>IF(S1640="nio",0,IF(S1640&gt;0,VLOOKUP(G1640,'3-Productie normen'!A:K,VLOOKUP(S1640,'3-Productie normen'!L:N,3,FALSE),FALSE)))</f>
        <v>0</v>
      </c>
      <c r="V1640" s="162">
        <f>VLOOKUP(G1640,'3-Productie normen'!A:K,10,FALSE)</f>
        <v>16013.110036668773</v>
      </c>
      <c r="W1640" s="163">
        <f>VLOOKUP(G1640,'3-Productie normen'!A:K,11,FALSE)</f>
        <v>0</v>
      </c>
      <c r="X1640" s="163"/>
      <c r="Z1640" s="129">
        <f t="shared" si="132"/>
        <v>4808</v>
      </c>
    </row>
    <row r="1641" spans="1:26" ht="14.1" customHeight="1">
      <c r="A1641" s="144">
        <v>1679</v>
      </c>
      <c r="B1641" s="485" t="s">
        <v>253</v>
      </c>
      <c r="C1641" s="303" t="s">
        <v>762</v>
      </c>
      <c r="D1641" s="304" t="s">
        <v>98</v>
      </c>
      <c r="E1641" s="694" t="s">
        <v>305</v>
      </c>
      <c r="F1641" s="303" t="s">
        <v>763</v>
      </c>
      <c r="G1641" s="502" t="s">
        <v>347</v>
      </c>
      <c r="H1641" s="516" t="s">
        <v>376</v>
      </c>
      <c r="I1641" s="582" t="str">
        <f>VLOOKUP(H1641,'9a-Typen vloeren'!$A$10:$B$40,2,FALSE)</f>
        <v>Schrobben</v>
      </c>
      <c r="J1641" s="433">
        <v>82.8</v>
      </c>
      <c r="K1641" s="433">
        <f t="shared" si="136"/>
        <v>0</v>
      </c>
      <c r="L1641" s="433">
        <f t="shared" si="137"/>
        <v>82.8</v>
      </c>
      <c r="M1641" s="433">
        <f t="shared" si="138"/>
        <v>0</v>
      </c>
      <c r="N1641" s="672"/>
      <c r="O1641" s="729">
        <f>IF(N1641="",0,N1641*K1641/'9b-Vloeronderhoud'!$F$4)</f>
        <v>0</v>
      </c>
      <c r="P1641" s="672">
        <v>3</v>
      </c>
      <c r="Q1641" s="729" t="e">
        <f>IF(O1641="",0,P1641*L1641/'9b-Vloeronderhoud'!$F$6)</f>
        <v>#DIV/0!</v>
      </c>
      <c r="R1641" s="449">
        <v>1</v>
      </c>
      <c r="S1641" s="672">
        <v>44</v>
      </c>
      <c r="T1641" s="161" t="e">
        <f t="shared" si="131"/>
        <v>#DIV/0!</v>
      </c>
      <c r="U1641" s="162">
        <f>IF(S1641="nio",0,IF(S1641&gt;0,VLOOKUP(G1641,'3-Productie normen'!A:K,VLOOKUP(S1641,'3-Productie normen'!L:N,3,FALSE),FALSE)))</f>
        <v>0</v>
      </c>
      <c r="V1641" s="162">
        <f>VLOOKUP(G1641,'3-Productie normen'!A:K,10,FALSE)</f>
        <v>1134.6299961853026</v>
      </c>
      <c r="W1641" s="163">
        <f>VLOOKUP(G1641,'3-Productie normen'!A:K,11,FALSE)</f>
        <v>0</v>
      </c>
      <c r="X1641" s="163"/>
      <c r="Z1641" s="129">
        <f t="shared" si="132"/>
        <v>3643.2</v>
      </c>
    </row>
    <row r="1642" spans="1:26" ht="14.1" customHeight="1">
      <c r="A1642" s="144">
        <v>1680</v>
      </c>
      <c r="B1642" s="485" t="s">
        <v>253</v>
      </c>
      <c r="C1642" s="303" t="s">
        <v>762</v>
      </c>
      <c r="D1642" s="304" t="s">
        <v>98</v>
      </c>
      <c r="E1642" s="694" t="s">
        <v>306</v>
      </c>
      <c r="F1642" s="303" t="s">
        <v>382</v>
      </c>
      <c r="G1642" s="460" t="s">
        <v>881</v>
      </c>
      <c r="H1642" s="516" t="s">
        <v>100</v>
      </c>
      <c r="I1642" s="582" t="str">
        <f>VLOOKUP(H1642,'9a-Typen vloeren'!$A$10:$B$40,2,FALSE)</f>
        <v>Sprayen/ conserveren</v>
      </c>
      <c r="J1642" s="433">
        <v>20.5</v>
      </c>
      <c r="K1642" s="433">
        <f t="shared" si="136"/>
        <v>0</v>
      </c>
      <c r="L1642" s="433">
        <f t="shared" si="137"/>
        <v>0</v>
      </c>
      <c r="M1642" s="433">
        <f t="shared" si="138"/>
        <v>0</v>
      </c>
      <c r="N1642" s="672"/>
      <c r="O1642" s="729">
        <f>IF(N1642="",0,N1642*K1642/'9b-Vloeronderhoud'!$F$4)</f>
        <v>0</v>
      </c>
      <c r="P1642" s="672"/>
      <c r="Q1642" s="729" t="e">
        <f>IF(O1642="",0,P1642*L1642/'9b-Vloeronderhoud'!$F$6)</f>
        <v>#DIV/0!</v>
      </c>
      <c r="R1642" s="449">
        <v>1</v>
      </c>
      <c r="S1642" s="672" t="s">
        <v>179</v>
      </c>
      <c r="T1642" s="161">
        <f t="shared" si="131"/>
        <v>0</v>
      </c>
      <c r="U1642" s="162">
        <f>IF(S1642="nio",0,IF(S1642&gt;0,VLOOKUP(G1642,'3-Productie normen'!A:K,VLOOKUP(S1642,'3-Productie normen'!L:N,3,FALSE),FALSE)))</f>
        <v>0</v>
      </c>
      <c r="V1642" s="162">
        <f>VLOOKUP(G1642,'3-Productie normen'!A:K,10,FALSE)</f>
        <v>5262.809993648526</v>
      </c>
      <c r="W1642" s="163">
        <f>VLOOKUP(G1642,'3-Productie normen'!A:K,11,FALSE)</f>
        <v>0</v>
      </c>
      <c r="X1642" s="163"/>
      <c r="Z1642" s="129">
        <f t="shared" si="132"/>
        <v>0</v>
      </c>
    </row>
    <row r="1643" spans="1:26" ht="14.1" customHeight="1">
      <c r="A1643" s="144">
        <v>1681</v>
      </c>
      <c r="B1643" s="485" t="s">
        <v>253</v>
      </c>
      <c r="C1643" s="303" t="s">
        <v>762</v>
      </c>
      <c r="D1643" s="304" t="s">
        <v>98</v>
      </c>
      <c r="E1643" s="694" t="s">
        <v>307</v>
      </c>
      <c r="F1643" s="303" t="s">
        <v>764</v>
      </c>
      <c r="G1643" s="460" t="s">
        <v>18</v>
      </c>
      <c r="H1643" s="303" t="s">
        <v>955</v>
      </c>
      <c r="I1643" s="582" t="str">
        <f>VLOOKUP(H1643,'9a-Typen vloeren'!$A$10:$B$40,2,FALSE)</f>
        <v>zie kwaliteitsontwerp</v>
      </c>
      <c r="J1643" s="433">
        <v>5.4</v>
      </c>
      <c r="K1643" s="433">
        <f t="shared" si="136"/>
        <v>0</v>
      </c>
      <c r="L1643" s="433">
        <f t="shared" si="137"/>
        <v>0</v>
      </c>
      <c r="M1643" s="433">
        <f t="shared" si="138"/>
        <v>0</v>
      </c>
      <c r="N1643" s="672"/>
      <c r="O1643" s="729">
        <f>IF(N1643="",0,N1643*K1643/'9b-Vloeronderhoud'!$F$4)</f>
        <v>0</v>
      </c>
      <c r="P1643" s="672"/>
      <c r="Q1643" s="729" t="e">
        <f>IF(O1643="",0,P1643*L1643/'9b-Vloeronderhoud'!$F$6)</f>
        <v>#DIV/0!</v>
      </c>
      <c r="R1643" s="449">
        <v>1</v>
      </c>
      <c r="S1643" s="672">
        <v>190</v>
      </c>
      <c r="T1643" s="161" t="e">
        <f t="shared" si="131"/>
        <v>#DIV/0!</v>
      </c>
      <c r="U1643" s="162">
        <f>IF(S1643="nio",0,IF(S1643&gt;0,VLOOKUP(G1643,'3-Productie normen'!A:K,VLOOKUP(S1643,'3-Productie normen'!L:N,3,FALSE),FALSE)))</f>
        <v>0</v>
      </c>
      <c r="V1643" s="162">
        <f>VLOOKUP(G1643,'3-Productie normen'!A:K,10,FALSE)</f>
        <v>1859.5880019121171</v>
      </c>
      <c r="W1643" s="163">
        <f>VLOOKUP(G1643,'3-Productie normen'!A:K,11,FALSE)</f>
        <v>0</v>
      </c>
      <c r="X1643" s="163"/>
      <c r="Z1643" s="129">
        <f t="shared" si="132"/>
        <v>1026</v>
      </c>
    </row>
    <row r="1644" spans="1:26" ht="14.1" customHeight="1">
      <c r="A1644" s="144">
        <v>1682</v>
      </c>
      <c r="B1644" s="485" t="s">
        <v>253</v>
      </c>
      <c r="C1644" s="303" t="s">
        <v>762</v>
      </c>
      <c r="D1644" s="304" t="s">
        <v>98</v>
      </c>
      <c r="E1644" s="694" t="s">
        <v>309</v>
      </c>
      <c r="F1644" s="303" t="s">
        <v>382</v>
      </c>
      <c r="G1644" s="460" t="s">
        <v>881</v>
      </c>
      <c r="H1644" s="516" t="s">
        <v>100</v>
      </c>
      <c r="I1644" s="582" t="str">
        <f>VLOOKUP(H1644,'9a-Typen vloeren'!$A$10:$B$40,2,FALSE)</f>
        <v>Sprayen/ conserveren</v>
      </c>
      <c r="J1644" s="433">
        <v>12.3</v>
      </c>
      <c r="K1644" s="433">
        <f t="shared" si="136"/>
        <v>0</v>
      </c>
      <c r="L1644" s="433">
        <f t="shared" si="137"/>
        <v>0</v>
      </c>
      <c r="M1644" s="433">
        <f t="shared" si="138"/>
        <v>0</v>
      </c>
      <c r="N1644" s="672"/>
      <c r="O1644" s="729">
        <f>IF(N1644="",0,N1644*K1644/'9b-Vloeronderhoud'!$F$4)</f>
        <v>0</v>
      </c>
      <c r="P1644" s="672"/>
      <c r="Q1644" s="729" t="e">
        <f>IF(O1644="",0,P1644*L1644/'9b-Vloeronderhoud'!$F$6)</f>
        <v>#DIV/0!</v>
      </c>
      <c r="R1644" s="449">
        <v>1</v>
      </c>
      <c r="S1644" s="672" t="s">
        <v>179</v>
      </c>
      <c r="T1644" s="161">
        <f t="shared" si="131"/>
        <v>0</v>
      </c>
      <c r="U1644" s="162">
        <f>IF(S1644="nio",0,IF(S1644&gt;0,VLOOKUP(G1644,'3-Productie normen'!A:K,VLOOKUP(S1644,'3-Productie normen'!L:N,3,FALSE),FALSE)))</f>
        <v>0</v>
      </c>
      <c r="V1644" s="162">
        <f>VLOOKUP(G1644,'3-Productie normen'!A:K,10,FALSE)</f>
        <v>5262.809993648526</v>
      </c>
      <c r="W1644" s="163">
        <f>VLOOKUP(G1644,'3-Productie normen'!A:K,11,FALSE)</f>
        <v>0</v>
      </c>
      <c r="X1644" s="163"/>
      <c r="Z1644" s="129">
        <f t="shared" si="132"/>
        <v>0</v>
      </c>
    </row>
    <row r="1645" spans="1:26" ht="14.1" customHeight="1">
      <c r="A1645" s="144">
        <v>1683</v>
      </c>
      <c r="B1645" s="485" t="s">
        <v>253</v>
      </c>
      <c r="C1645" s="303" t="s">
        <v>762</v>
      </c>
      <c r="D1645" s="304" t="s">
        <v>98</v>
      </c>
      <c r="E1645" s="694" t="s">
        <v>311</v>
      </c>
      <c r="F1645" s="303" t="s">
        <v>765</v>
      </c>
      <c r="G1645" s="460" t="s">
        <v>191</v>
      </c>
      <c r="H1645" s="303" t="s">
        <v>332</v>
      </c>
      <c r="I1645" s="582" t="str">
        <f>VLOOKUP(H1645,'9a-Typen vloeren'!$A$10:$B$40,2,FALSE)</f>
        <v>Sproei/extraheren</v>
      </c>
      <c r="J1645" s="433">
        <v>22.1</v>
      </c>
      <c r="K1645" s="433">
        <f t="shared" si="136"/>
        <v>0</v>
      </c>
      <c r="L1645" s="433">
        <f t="shared" si="137"/>
        <v>0</v>
      </c>
      <c r="M1645" s="433">
        <f t="shared" si="138"/>
        <v>22.1</v>
      </c>
      <c r="N1645" s="672"/>
      <c r="O1645" s="729">
        <f>IF(N1645="",0,N1645*K1645/'9b-Vloeronderhoud'!$F$4)</f>
        <v>0</v>
      </c>
      <c r="P1645" s="672"/>
      <c r="Q1645" s="729" t="e">
        <f>IF(O1645="",0,P1645*L1645/'9b-Vloeronderhoud'!$F$6)</f>
        <v>#DIV/0!</v>
      </c>
      <c r="R1645" s="449">
        <v>1</v>
      </c>
      <c r="S1645" s="672">
        <v>40</v>
      </c>
      <c r="T1645" s="161" t="e">
        <f t="shared" si="131"/>
        <v>#DIV/0!</v>
      </c>
      <c r="U1645" s="162">
        <f>IF(S1645="nio",0,IF(S1645&gt;0,VLOOKUP(G1645,'3-Productie normen'!A:K,VLOOKUP(S1645,'3-Productie normen'!L:N,3,FALSE),FALSE)))</f>
        <v>0</v>
      </c>
      <c r="V1645" s="162">
        <f>VLOOKUP(G1645,'3-Productie normen'!A:K,10,FALSE)</f>
        <v>314.55999933242794</v>
      </c>
      <c r="W1645" s="163">
        <f>VLOOKUP(G1645,'3-Productie normen'!A:K,11,FALSE)</f>
        <v>0</v>
      </c>
      <c r="X1645" s="163"/>
      <c r="Z1645" s="129">
        <f t="shared" si="132"/>
        <v>884</v>
      </c>
    </row>
    <row r="1646" spans="1:26" ht="14.1" customHeight="1">
      <c r="A1646" s="144">
        <v>1684</v>
      </c>
      <c r="B1646" s="485" t="s">
        <v>253</v>
      </c>
      <c r="C1646" s="303" t="s">
        <v>762</v>
      </c>
      <c r="D1646" s="304" t="s">
        <v>98</v>
      </c>
      <c r="E1646" s="694" t="s">
        <v>312</v>
      </c>
      <c r="F1646" s="303" t="s">
        <v>267</v>
      </c>
      <c r="G1646" s="460" t="s">
        <v>18</v>
      </c>
      <c r="H1646" s="303" t="s">
        <v>955</v>
      </c>
      <c r="I1646" s="582" t="str">
        <f>VLOOKUP(H1646,'9a-Typen vloeren'!$A$10:$B$40,2,FALSE)</f>
        <v>zie kwaliteitsontwerp</v>
      </c>
      <c r="J1646" s="433">
        <v>6.1</v>
      </c>
      <c r="K1646" s="433">
        <f t="shared" si="136"/>
        <v>0</v>
      </c>
      <c r="L1646" s="433">
        <f t="shared" si="137"/>
        <v>0</v>
      </c>
      <c r="M1646" s="433">
        <f t="shared" si="138"/>
        <v>0</v>
      </c>
      <c r="N1646" s="672"/>
      <c r="O1646" s="729">
        <f>IF(N1646="",0,N1646*K1646/'9b-Vloeronderhoud'!$F$4)</f>
        <v>0</v>
      </c>
      <c r="P1646" s="672"/>
      <c r="Q1646" s="729" t="e">
        <f>IF(O1646="",0,P1646*L1646/'9b-Vloeronderhoud'!$F$6)</f>
        <v>#DIV/0!</v>
      </c>
      <c r="R1646" s="449">
        <v>1</v>
      </c>
      <c r="S1646" s="672">
        <v>190</v>
      </c>
      <c r="T1646" s="161" t="e">
        <f t="shared" si="131"/>
        <v>#DIV/0!</v>
      </c>
      <c r="U1646" s="162">
        <f>IF(S1646="nio",0,IF(S1646&gt;0,VLOOKUP(G1646,'3-Productie normen'!A:K,VLOOKUP(S1646,'3-Productie normen'!L:N,3,FALSE),FALSE)))</f>
        <v>0</v>
      </c>
      <c r="V1646" s="162">
        <f>VLOOKUP(G1646,'3-Productie normen'!A:K,10,FALSE)</f>
        <v>1859.5880019121171</v>
      </c>
      <c r="W1646" s="163">
        <f>VLOOKUP(G1646,'3-Productie normen'!A:K,11,FALSE)</f>
        <v>0</v>
      </c>
      <c r="X1646" s="163"/>
      <c r="Z1646" s="129">
        <f t="shared" si="132"/>
        <v>1159</v>
      </c>
    </row>
    <row r="1647" spans="1:26" ht="14.1" customHeight="1">
      <c r="A1647" s="144">
        <v>1685</v>
      </c>
      <c r="B1647" s="485" t="s">
        <v>253</v>
      </c>
      <c r="C1647" s="303" t="s">
        <v>762</v>
      </c>
      <c r="D1647" s="304" t="s">
        <v>98</v>
      </c>
      <c r="E1647" s="694" t="s">
        <v>314</v>
      </c>
      <c r="F1647" s="303" t="s">
        <v>267</v>
      </c>
      <c r="G1647" s="303" t="s">
        <v>18</v>
      </c>
      <c r="H1647" s="303" t="s">
        <v>955</v>
      </c>
      <c r="I1647" s="582" t="str">
        <f>VLOOKUP(H1647,'9a-Typen vloeren'!$A$10:$B$40,2,FALSE)</f>
        <v>zie kwaliteitsontwerp</v>
      </c>
      <c r="J1647" s="433">
        <v>6.1</v>
      </c>
      <c r="K1647" s="433">
        <f t="shared" si="136"/>
        <v>0</v>
      </c>
      <c r="L1647" s="433">
        <f t="shared" si="137"/>
        <v>0</v>
      </c>
      <c r="M1647" s="433">
        <f t="shared" si="138"/>
        <v>0</v>
      </c>
      <c r="N1647" s="672"/>
      <c r="O1647" s="729">
        <f>IF(N1647="",0,N1647*K1647/'9b-Vloeronderhoud'!$F$4)</f>
        <v>0</v>
      </c>
      <c r="P1647" s="672"/>
      <c r="Q1647" s="729" t="e">
        <f>IF(O1647="",0,P1647*L1647/'9b-Vloeronderhoud'!$F$6)</f>
        <v>#DIV/0!</v>
      </c>
      <c r="R1647" s="449">
        <v>1</v>
      </c>
      <c r="S1647" s="672">
        <v>190</v>
      </c>
      <c r="T1647" s="161" t="e">
        <f t="shared" si="131"/>
        <v>#DIV/0!</v>
      </c>
      <c r="U1647" s="162">
        <f>IF(S1647="nio",0,IF(S1647&gt;0,VLOOKUP(G1647,'3-Productie normen'!A:K,VLOOKUP(S1647,'3-Productie normen'!L:N,3,FALSE),FALSE)))</f>
        <v>0</v>
      </c>
      <c r="V1647" s="162">
        <f>VLOOKUP(G1647,'3-Productie normen'!A:K,10,FALSE)</f>
        <v>1859.5880019121171</v>
      </c>
      <c r="W1647" s="163">
        <f>VLOOKUP(G1647,'3-Productie normen'!A:K,11,FALSE)</f>
        <v>0</v>
      </c>
      <c r="X1647" s="163"/>
      <c r="Z1647" s="129">
        <f t="shared" si="132"/>
        <v>1159</v>
      </c>
    </row>
    <row r="1648" spans="1:26" ht="14.1" customHeight="1">
      <c r="A1648" s="144">
        <v>1686</v>
      </c>
      <c r="B1648" s="485" t="s">
        <v>253</v>
      </c>
      <c r="C1648" s="303" t="s">
        <v>762</v>
      </c>
      <c r="D1648" s="304" t="s">
        <v>98</v>
      </c>
      <c r="E1648" s="694" t="s">
        <v>315</v>
      </c>
      <c r="F1648" s="303" t="s">
        <v>556</v>
      </c>
      <c r="G1648" s="460" t="s">
        <v>299</v>
      </c>
      <c r="H1648" s="303" t="s">
        <v>332</v>
      </c>
      <c r="I1648" s="582" t="str">
        <f>VLOOKUP(H1648,'9a-Typen vloeren'!$A$10:$B$40,2,FALSE)</f>
        <v>Sproei/extraheren</v>
      </c>
      <c r="J1648" s="433">
        <v>23.9</v>
      </c>
      <c r="K1648" s="433">
        <f t="shared" si="136"/>
        <v>0</v>
      </c>
      <c r="L1648" s="433">
        <f t="shared" si="137"/>
        <v>0</v>
      </c>
      <c r="M1648" s="433">
        <f t="shared" si="138"/>
        <v>23.9</v>
      </c>
      <c r="N1648" s="672"/>
      <c r="O1648" s="729">
        <f>IF(N1648="",0,N1648*K1648/'9b-Vloeronderhoud'!$F$4)</f>
        <v>0</v>
      </c>
      <c r="P1648" s="672"/>
      <c r="Q1648" s="729" t="e">
        <f>IF(O1648="",0,P1648*L1648/'9b-Vloeronderhoud'!$F$6)</f>
        <v>#DIV/0!</v>
      </c>
      <c r="R1648" s="449">
        <v>1</v>
      </c>
      <c r="S1648" s="672">
        <v>40</v>
      </c>
      <c r="T1648" s="161" t="e">
        <f t="shared" si="131"/>
        <v>#DIV/0!</v>
      </c>
      <c r="U1648" s="162">
        <f>IF(S1648="nio",0,IF(S1648&gt;0,VLOOKUP(G1648,'3-Productie normen'!A:K,VLOOKUP(S1648,'3-Productie normen'!L:N,3,FALSE),FALSE)))</f>
        <v>0</v>
      </c>
      <c r="V1648" s="162">
        <f>VLOOKUP(G1648,'3-Productie normen'!A:K,10,FALSE)</f>
        <v>1107.9100014114381</v>
      </c>
      <c r="W1648" s="163">
        <f>VLOOKUP(G1648,'3-Productie normen'!A:K,11,FALSE)</f>
        <v>0</v>
      </c>
      <c r="X1648" s="163"/>
      <c r="Z1648" s="129">
        <f t="shared" si="132"/>
        <v>956</v>
      </c>
    </row>
    <row r="1649" spans="1:26" ht="14.1" customHeight="1">
      <c r="A1649" s="144">
        <v>1687</v>
      </c>
      <c r="B1649" s="485" t="s">
        <v>253</v>
      </c>
      <c r="C1649" s="303" t="s">
        <v>762</v>
      </c>
      <c r="D1649" s="304" t="s">
        <v>98</v>
      </c>
      <c r="E1649" s="694" t="s">
        <v>317</v>
      </c>
      <c r="F1649" s="303" t="s">
        <v>267</v>
      </c>
      <c r="G1649" s="122" t="s">
        <v>18</v>
      </c>
      <c r="H1649" s="303" t="s">
        <v>955</v>
      </c>
      <c r="I1649" s="582" t="str">
        <f>VLOOKUP(H1649,'9a-Typen vloeren'!$A$10:$B$40,2,FALSE)</f>
        <v>zie kwaliteitsontwerp</v>
      </c>
      <c r="J1649" s="433">
        <v>6.1</v>
      </c>
      <c r="K1649" s="433">
        <f t="shared" si="136"/>
        <v>0</v>
      </c>
      <c r="L1649" s="433">
        <f t="shared" si="137"/>
        <v>0</v>
      </c>
      <c r="M1649" s="433">
        <f t="shared" si="138"/>
        <v>0</v>
      </c>
      <c r="N1649" s="672"/>
      <c r="O1649" s="729">
        <f>IF(N1649="",0,N1649*K1649/'9b-Vloeronderhoud'!$F$4)</f>
        <v>0</v>
      </c>
      <c r="P1649" s="672"/>
      <c r="Q1649" s="729" t="e">
        <f>IF(O1649="",0,P1649*L1649/'9b-Vloeronderhoud'!$F$6)</f>
        <v>#DIV/0!</v>
      </c>
      <c r="R1649" s="449">
        <v>1</v>
      </c>
      <c r="S1649" s="672">
        <v>190</v>
      </c>
      <c r="T1649" s="161" t="e">
        <f t="shared" si="131"/>
        <v>#DIV/0!</v>
      </c>
      <c r="U1649" s="162">
        <f>IF(S1649="nio",0,IF(S1649&gt;0,VLOOKUP(G1649,'3-Productie normen'!A:K,VLOOKUP(S1649,'3-Productie normen'!L:N,3,FALSE),FALSE)))</f>
        <v>0</v>
      </c>
      <c r="V1649" s="162">
        <f>VLOOKUP(G1649,'3-Productie normen'!A:K,10,FALSE)</f>
        <v>1859.5880019121171</v>
      </c>
      <c r="W1649" s="163">
        <f>VLOOKUP(G1649,'3-Productie normen'!A:K,11,FALSE)</f>
        <v>0</v>
      </c>
      <c r="X1649" s="163"/>
      <c r="Z1649" s="129">
        <f t="shared" si="132"/>
        <v>1159</v>
      </c>
    </row>
    <row r="1650" spans="1:26" ht="14.1" customHeight="1">
      <c r="A1650" s="144">
        <v>1688</v>
      </c>
      <c r="B1650" s="485" t="s">
        <v>253</v>
      </c>
      <c r="C1650" s="303" t="s">
        <v>762</v>
      </c>
      <c r="D1650" s="304" t="s">
        <v>98</v>
      </c>
      <c r="E1650" s="694" t="s">
        <v>318</v>
      </c>
      <c r="F1650" s="303" t="s">
        <v>267</v>
      </c>
      <c r="G1650" s="122" t="s">
        <v>18</v>
      </c>
      <c r="H1650" s="303" t="s">
        <v>955</v>
      </c>
      <c r="I1650" s="582" t="str">
        <f>VLOOKUP(H1650,'9a-Typen vloeren'!$A$10:$B$40,2,FALSE)</f>
        <v>zie kwaliteitsontwerp</v>
      </c>
      <c r="J1650" s="433">
        <v>6.1</v>
      </c>
      <c r="K1650" s="433">
        <f t="shared" si="136"/>
        <v>0</v>
      </c>
      <c r="L1650" s="433">
        <f t="shared" si="137"/>
        <v>0</v>
      </c>
      <c r="M1650" s="433">
        <f t="shared" si="138"/>
        <v>0</v>
      </c>
      <c r="N1650" s="672"/>
      <c r="O1650" s="729">
        <f>IF(N1650="",0,N1650*K1650/'9b-Vloeronderhoud'!$F$4)</f>
        <v>0</v>
      </c>
      <c r="P1650" s="672"/>
      <c r="Q1650" s="729" t="e">
        <f>IF(O1650="",0,P1650*L1650/'9b-Vloeronderhoud'!$F$6)</f>
        <v>#DIV/0!</v>
      </c>
      <c r="R1650" s="449">
        <v>1</v>
      </c>
      <c r="S1650" s="672">
        <v>190</v>
      </c>
      <c r="T1650" s="161" t="e">
        <f t="shared" si="131"/>
        <v>#DIV/0!</v>
      </c>
      <c r="U1650" s="162">
        <f>IF(S1650="nio",0,IF(S1650&gt;0,VLOOKUP(G1650,'3-Productie normen'!A:K,VLOOKUP(S1650,'3-Productie normen'!L:N,3,FALSE),FALSE)))</f>
        <v>0</v>
      </c>
      <c r="V1650" s="162">
        <f>VLOOKUP(G1650,'3-Productie normen'!A:K,10,FALSE)</f>
        <v>1859.5880019121171</v>
      </c>
      <c r="W1650" s="163">
        <f>VLOOKUP(G1650,'3-Productie normen'!A:K,11,FALSE)</f>
        <v>0</v>
      </c>
      <c r="X1650" s="163"/>
      <c r="Z1650" s="129">
        <f t="shared" si="132"/>
        <v>1159</v>
      </c>
    </row>
    <row r="1651" spans="1:26" ht="14.1" customHeight="1">
      <c r="A1651" s="144">
        <v>1689</v>
      </c>
      <c r="B1651" s="485" t="s">
        <v>253</v>
      </c>
      <c r="C1651" s="303" t="s">
        <v>762</v>
      </c>
      <c r="D1651" s="304" t="s">
        <v>98</v>
      </c>
      <c r="E1651" s="694" t="s">
        <v>319</v>
      </c>
      <c r="F1651" s="303" t="s">
        <v>489</v>
      </c>
      <c r="G1651" s="460" t="s">
        <v>99</v>
      </c>
      <c r="H1651" s="516" t="s">
        <v>101</v>
      </c>
      <c r="I1651" s="582" t="str">
        <f>VLOOKUP(H1651,'9a-Typen vloeren'!$A$10:$B$40,2,FALSE)</f>
        <v>Schrobben</v>
      </c>
      <c r="J1651" s="433">
        <v>7.6</v>
      </c>
      <c r="K1651" s="433">
        <f t="shared" si="136"/>
        <v>0</v>
      </c>
      <c r="L1651" s="433">
        <f t="shared" si="137"/>
        <v>7.6</v>
      </c>
      <c r="M1651" s="433">
        <f t="shared" si="138"/>
        <v>0</v>
      </c>
      <c r="N1651" s="672"/>
      <c r="O1651" s="729">
        <f>IF(N1651="",0,N1651*K1651/'9b-Vloeronderhoud'!$F$4)</f>
        <v>0</v>
      </c>
      <c r="P1651" s="672">
        <v>3</v>
      </c>
      <c r="Q1651" s="729" t="e">
        <f>IF(O1651="",0,P1651*L1651/'9b-Vloeronderhoud'!$F$6)</f>
        <v>#DIV/0!</v>
      </c>
      <c r="R1651" s="449">
        <v>1</v>
      </c>
      <c r="S1651" s="672">
        <v>190</v>
      </c>
      <c r="T1651" s="161" t="e">
        <f t="shared" si="131"/>
        <v>#DIV/0!</v>
      </c>
      <c r="U1651" s="162">
        <f>IF(S1651="nio",0,IF(S1651&gt;0,VLOOKUP(G1651,'3-Productie normen'!A:K,VLOOKUP(S1651,'3-Productie normen'!L:N,3,FALSE),FALSE)))</f>
        <v>0</v>
      </c>
      <c r="V1651" s="162">
        <f>VLOOKUP(G1651,'3-Productie normen'!A:K,10,FALSE)</f>
        <v>726.97999910354622</v>
      </c>
      <c r="W1651" s="163">
        <f>VLOOKUP(G1651,'3-Productie normen'!A:K,11,FALSE)</f>
        <v>0</v>
      </c>
      <c r="X1651" s="163"/>
      <c r="Z1651" s="129">
        <f t="shared" si="132"/>
        <v>1444</v>
      </c>
    </row>
    <row r="1652" spans="1:26" ht="14.1" customHeight="1">
      <c r="A1652" s="144">
        <v>1690</v>
      </c>
      <c r="B1652" s="485" t="s">
        <v>253</v>
      </c>
      <c r="C1652" s="303" t="s">
        <v>762</v>
      </c>
      <c r="D1652" s="304" t="s">
        <v>98</v>
      </c>
      <c r="E1652" s="694" t="s">
        <v>320</v>
      </c>
      <c r="F1652" s="303" t="s">
        <v>382</v>
      </c>
      <c r="G1652" s="460" t="s">
        <v>881</v>
      </c>
      <c r="H1652" s="516" t="s">
        <v>100</v>
      </c>
      <c r="I1652" s="582" t="str">
        <f>VLOOKUP(H1652,'9a-Typen vloeren'!$A$10:$B$40,2,FALSE)</f>
        <v>Sprayen/ conserveren</v>
      </c>
      <c r="J1652" s="433">
        <v>16.399999999999999</v>
      </c>
      <c r="K1652" s="433">
        <f t="shared" si="136"/>
        <v>0</v>
      </c>
      <c r="L1652" s="433">
        <f t="shared" si="137"/>
        <v>0</v>
      </c>
      <c r="M1652" s="433">
        <f t="shared" si="138"/>
        <v>0</v>
      </c>
      <c r="N1652" s="672"/>
      <c r="O1652" s="729">
        <f>IF(N1652="",0,N1652*K1652/'9b-Vloeronderhoud'!$F$4)</f>
        <v>0</v>
      </c>
      <c r="P1652" s="672"/>
      <c r="Q1652" s="729" t="e">
        <f>IF(O1652="",0,P1652*L1652/'9b-Vloeronderhoud'!$F$6)</f>
        <v>#DIV/0!</v>
      </c>
      <c r="R1652" s="449">
        <v>1</v>
      </c>
      <c r="S1652" s="672" t="s">
        <v>179</v>
      </c>
      <c r="T1652" s="161">
        <f t="shared" si="131"/>
        <v>0</v>
      </c>
      <c r="U1652" s="162">
        <f>IF(S1652="nio",0,IF(S1652&gt;0,VLOOKUP(G1652,'3-Productie normen'!A:K,VLOOKUP(S1652,'3-Productie normen'!L:N,3,FALSE),FALSE)))</f>
        <v>0</v>
      </c>
      <c r="V1652" s="162">
        <f>VLOOKUP(G1652,'3-Productie normen'!A:K,10,FALSE)</f>
        <v>5262.809993648526</v>
      </c>
      <c r="W1652" s="163">
        <f>VLOOKUP(G1652,'3-Productie normen'!A:K,11,FALSE)</f>
        <v>0</v>
      </c>
      <c r="X1652" s="163"/>
      <c r="Z1652" s="129">
        <f t="shared" si="132"/>
        <v>0</v>
      </c>
    </row>
    <row r="1653" spans="1:26" ht="14.1" customHeight="1">
      <c r="A1653" s="144">
        <v>1691</v>
      </c>
      <c r="B1653" s="485" t="s">
        <v>253</v>
      </c>
      <c r="C1653" s="303" t="s">
        <v>762</v>
      </c>
      <c r="D1653" s="304" t="s">
        <v>98</v>
      </c>
      <c r="E1653" s="694" t="s">
        <v>321</v>
      </c>
      <c r="F1653" s="303" t="s">
        <v>404</v>
      </c>
      <c r="G1653" s="533" t="s">
        <v>286</v>
      </c>
      <c r="H1653" s="516" t="s">
        <v>101</v>
      </c>
      <c r="I1653" s="582" t="str">
        <f>VLOOKUP(H1653,'9a-Typen vloeren'!$A$10:$B$40,2,FALSE)</f>
        <v>Schrobben</v>
      </c>
      <c r="J1653" s="433">
        <v>193.1</v>
      </c>
      <c r="K1653" s="433">
        <f t="shared" si="136"/>
        <v>0</v>
      </c>
      <c r="L1653" s="433">
        <f t="shared" si="137"/>
        <v>193.1</v>
      </c>
      <c r="M1653" s="433">
        <f t="shared" si="138"/>
        <v>0</v>
      </c>
      <c r="N1653" s="672"/>
      <c r="O1653" s="729">
        <f>IF(N1653="",0,N1653*K1653/'9b-Vloeronderhoud'!$F$4)</f>
        <v>0</v>
      </c>
      <c r="P1653" s="672">
        <v>3</v>
      </c>
      <c r="Q1653" s="729" t="e">
        <f>IF(O1653="",0,P1653*L1653/'9b-Vloeronderhoud'!$F$6)</f>
        <v>#DIV/0!</v>
      </c>
      <c r="R1653" s="449">
        <v>1</v>
      </c>
      <c r="S1653" s="672">
        <v>120</v>
      </c>
      <c r="T1653" s="161" t="e">
        <f t="shared" si="131"/>
        <v>#DIV/0!</v>
      </c>
      <c r="U1653" s="162">
        <f>IF(S1653="nio",0,IF(S1653&gt;0,VLOOKUP(G1653,'3-Productie normen'!A:K,VLOOKUP(S1653,'3-Productie normen'!L:N,3,FALSE),FALSE)))</f>
        <v>0</v>
      </c>
      <c r="V1653" s="162">
        <f>VLOOKUP(G1653,'3-Productie normen'!A:K,10,FALSE)</f>
        <v>6152.9500017547598</v>
      </c>
      <c r="W1653" s="163">
        <f>VLOOKUP(G1653,'3-Productie normen'!A:K,11,FALSE)</f>
        <v>0</v>
      </c>
      <c r="X1653" s="163"/>
      <c r="Z1653" s="129">
        <f t="shared" si="132"/>
        <v>23172</v>
      </c>
    </row>
    <row r="1654" spans="1:26" ht="14.1" customHeight="1">
      <c r="A1654" s="144">
        <v>1692</v>
      </c>
      <c r="B1654" s="485" t="s">
        <v>253</v>
      </c>
      <c r="C1654" s="303" t="s">
        <v>762</v>
      </c>
      <c r="D1654" s="304" t="s">
        <v>98</v>
      </c>
      <c r="E1654" s="694" t="s">
        <v>323</v>
      </c>
      <c r="F1654" s="303" t="s">
        <v>582</v>
      </c>
      <c r="G1654" s="122" t="s">
        <v>189</v>
      </c>
      <c r="H1654" s="303" t="s">
        <v>332</v>
      </c>
      <c r="I1654" s="582" t="str">
        <f>VLOOKUP(H1654,'9a-Typen vloeren'!$A$10:$B$40,2,FALSE)</f>
        <v>Sproei/extraheren</v>
      </c>
      <c r="J1654" s="433">
        <v>21.9</v>
      </c>
      <c r="K1654" s="433">
        <f t="shared" si="136"/>
        <v>0</v>
      </c>
      <c r="L1654" s="433">
        <f t="shared" si="137"/>
        <v>0</v>
      </c>
      <c r="M1654" s="433">
        <f t="shared" si="138"/>
        <v>21.9</v>
      </c>
      <c r="N1654" s="672"/>
      <c r="O1654" s="729">
        <f>IF(N1654="",0,N1654*K1654/'9b-Vloeronderhoud'!$F$4)</f>
        <v>0</v>
      </c>
      <c r="P1654" s="672"/>
      <c r="Q1654" s="729" t="e">
        <f>IF(O1654="",0,P1654*L1654/'9b-Vloeronderhoud'!$F$6)</f>
        <v>#DIV/0!</v>
      </c>
      <c r="R1654" s="449">
        <v>1</v>
      </c>
      <c r="S1654" s="672">
        <v>40</v>
      </c>
      <c r="T1654" s="161" t="e">
        <f t="shared" si="131"/>
        <v>#DIV/0!</v>
      </c>
      <c r="U1654" s="162">
        <f>IF(S1654="nio",0,IF(S1654&gt;0,VLOOKUP(G1654,'3-Productie normen'!A:K,VLOOKUP(S1654,'3-Productie normen'!L:N,3,FALSE),FALSE)))</f>
        <v>0</v>
      </c>
      <c r="V1654" s="162">
        <f>VLOOKUP(G1654,'3-Productie normen'!A:K,10,FALSE)</f>
        <v>1494.1700078582762</v>
      </c>
      <c r="W1654" s="163">
        <f>VLOOKUP(G1654,'3-Productie normen'!A:K,11,FALSE)</f>
        <v>0</v>
      </c>
      <c r="X1654" s="163"/>
      <c r="Z1654" s="129">
        <f t="shared" si="132"/>
        <v>876</v>
      </c>
    </row>
    <row r="1655" spans="1:26" ht="14.1" customHeight="1">
      <c r="A1655" s="144">
        <v>1693</v>
      </c>
      <c r="B1655" s="485" t="s">
        <v>253</v>
      </c>
      <c r="C1655" s="303" t="s">
        <v>762</v>
      </c>
      <c r="D1655" s="304" t="s">
        <v>98</v>
      </c>
      <c r="E1655" s="694" t="s">
        <v>325</v>
      </c>
      <c r="F1655" s="303" t="s">
        <v>382</v>
      </c>
      <c r="G1655" s="460" t="s">
        <v>881</v>
      </c>
      <c r="H1655" s="516" t="s">
        <v>100</v>
      </c>
      <c r="I1655" s="582" t="str">
        <f>VLOOKUP(H1655,'9a-Typen vloeren'!$A$10:$B$40,2,FALSE)</f>
        <v>Sprayen/ conserveren</v>
      </c>
      <c r="J1655" s="433">
        <v>3.1</v>
      </c>
      <c r="K1655" s="433">
        <f t="shared" si="136"/>
        <v>0</v>
      </c>
      <c r="L1655" s="433">
        <f t="shared" si="137"/>
        <v>0</v>
      </c>
      <c r="M1655" s="433">
        <f t="shared" si="138"/>
        <v>0</v>
      </c>
      <c r="N1655" s="672"/>
      <c r="O1655" s="729">
        <f>IF(N1655="",0,N1655*K1655/'9b-Vloeronderhoud'!$F$4)</f>
        <v>0</v>
      </c>
      <c r="P1655" s="672"/>
      <c r="Q1655" s="729" t="e">
        <f>IF(O1655="",0,P1655*L1655/'9b-Vloeronderhoud'!$F$6)</f>
        <v>#DIV/0!</v>
      </c>
      <c r="R1655" s="449">
        <v>1</v>
      </c>
      <c r="S1655" s="672" t="s">
        <v>179</v>
      </c>
      <c r="T1655" s="161">
        <f t="shared" si="131"/>
        <v>0</v>
      </c>
      <c r="U1655" s="162">
        <f>IF(S1655="nio",0,IF(S1655&gt;0,VLOOKUP(G1655,'3-Productie normen'!A:K,VLOOKUP(S1655,'3-Productie normen'!L:N,3,FALSE),FALSE)))</f>
        <v>0</v>
      </c>
      <c r="V1655" s="162">
        <f>VLOOKUP(G1655,'3-Productie normen'!A:K,10,FALSE)</f>
        <v>5262.809993648526</v>
      </c>
      <c r="W1655" s="163">
        <f>VLOOKUP(G1655,'3-Productie normen'!A:K,11,FALSE)</f>
        <v>0</v>
      </c>
      <c r="X1655" s="163"/>
      <c r="Z1655" s="129">
        <f t="shared" si="132"/>
        <v>0</v>
      </c>
    </row>
    <row r="1656" spans="1:26" ht="14.1" customHeight="1">
      <c r="A1656" s="144">
        <v>1694</v>
      </c>
      <c r="B1656" s="485" t="s">
        <v>253</v>
      </c>
      <c r="C1656" s="303" t="s">
        <v>762</v>
      </c>
      <c r="D1656" s="304" t="s">
        <v>98</v>
      </c>
      <c r="E1656" s="694" t="s">
        <v>326</v>
      </c>
      <c r="F1656" s="303" t="s">
        <v>582</v>
      </c>
      <c r="G1656" s="533" t="s">
        <v>189</v>
      </c>
      <c r="H1656" s="303" t="s">
        <v>332</v>
      </c>
      <c r="I1656" s="582" t="str">
        <f>VLOOKUP(H1656,'9a-Typen vloeren'!$A$10:$B$40,2,FALSE)</f>
        <v>Sproei/extraheren</v>
      </c>
      <c r="J1656" s="433">
        <v>26.6</v>
      </c>
      <c r="K1656" s="433">
        <f t="shared" si="136"/>
        <v>0</v>
      </c>
      <c r="L1656" s="433">
        <f t="shared" si="137"/>
        <v>0</v>
      </c>
      <c r="M1656" s="433">
        <f t="shared" si="138"/>
        <v>26.6</v>
      </c>
      <c r="N1656" s="672"/>
      <c r="O1656" s="729">
        <f>IF(N1656="",0,N1656*K1656/'9b-Vloeronderhoud'!$F$4)</f>
        <v>0</v>
      </c>
      <c r="P1656" s="672"/>
      <c r="Q1656" s="729" t="e">
        <f>IF(O1656="",0,P1656*L1656/'9b-Vloeronderhoud'!$F$6)</f>
        <v>#DIV/0!</v>
      </c>
      <c r="R1656" s="449">
        <v>1</v>
      </c>
      <c r="S1656" s="672">
        <v>40</v>
      </c>
      <c r="T1656" s="161" t="e">
        <f t="shared" si="131"/>
        <v>#DIV/0!</v>
      </c>
      <c r="U1656" s="162">
        <f>IF(S1656="nio",0,IF(S1656&gt;0,VLOOKUP(G1656,'3-Productie normen'!A:K,VLOOKUP(S1656,'3-Productie normen'!L:N,3,FALSE),FALSE)))</f>
        <v>0</v>
      </c>
      <c r="V1656" s="162">
        <f>VLOOKUP(G1656,'3-Productie normen'!A:K,10,FALSE)</f>
        <v>1494.1700078582762</v>
      </c>
      <c r="W1656" s="163">
        <f>VLOOKUP(G1656,'3-Productie normen'!A:K,11,FALSE)</f>
        <v>0</v>
      </c>
      <c r="X1656" s="163"/>
      <c r="Z1656" s="129">
        <f t="shared" si="132"/>
        <v>1064</v>
      </c>
    </row>
    <row r="1657" spans="1:26" ht="14.1" customHeight="1">
      <c r="A1657" s="144">
        <v>1695</v>
      </c>
      <c r="B1657" s="485" t="s">
        <v>253</v>
      </c>
      <c r="C1657" s="303" t="s">
        <v>762</v>
      </c>
      <c r="D1657" s="304" t="s">
        <v>98</v>
      </c>
      <c r="E1657" s="694" t="s">
        <v>328</v>
      </c>
      <c r="F1657" s="303" t="s">
        <v>582</v>
      </c>
      <c r="G1657" s="122" t="s">
        <v>189</v>
      </c>
      <c r="H1657" s="303" t="s">
        <v>332</v>
      </c>
      <c r="I1657" s="582" t="str">
        <f>VLOOKUP(H1657,'9a-Typen vloeren'!$A$10:$B$40,2,FALSE)</f>
        <v>Sproei/extraheren</v>
      </c>
      <c r="J1657" s="433">
        <v>6.2</v>
      </c>
      <c r="K1657" s="433">
        <f t="shared" si="136"/>
        <v>0</v>
      </c>
      <c r="L1657" s="433">
        <f t="shared" si="137"/>
        <v>0</v>
      </c>
      <c r="M1657" s="433">
        <f t="shared" si="138"/>
        <v>6.2</v>
      </c>
      <c r="N1657" s="672"/>
      <c r="O1657" s="729">
        <f>IF(N1657="",0,N1657*K1657/'9b-Vloeronderhoud'!$F$4)</f>
        <v>0</v>
      </c>
      <c r="P1657" s="672"/>
      <c r="Q1657" s="729" t="e">
        <f>IF(O1657="",0,P1657*L1657/'9b-Vloeronderhoud'!$F$6)</f>
        <v>#DIV/0!</v>
      </c>
      <c r="R1657" s="449">
        <v>1</v>
      </c>
      <c r="S1657" s="672">
        <v>40</v>
      </c>
      <c r="T1657" s="161" t="e">
        <f t="shared" si="131"/>
        <v>#DIV/0!</v>
      </c>
      <c r="U1657" s="162">
        <f>IF(S1657="nio",0,IF(S1657&gt;0,VLOOKUP(G1657,'3-Productie normen'!A:K,VLOOKUP(S1657,'3-Productie normen'!L:N,3,FALSE),FALSE)))</f>
        <v>0</v>
      </c>
      <c r="V1657" s="162">
        <f>VLOOKUP(G1657,'3-Productie normen'!A:K,10,FALSE)</f>
        <v>1494.1700078582762</v>
      </c>
      <c r="W1657" s="163">
        <f>VLOOKUP(G1657,'3-Productie normen'!A:K,11,FALSE)</f>
        <v>0</v>
      </c>
      <c r="X1657" s="163"/>
      <c r="Z1657" s="129">
        <f t="shared" si="132"/>
        <v>248</v>
      </c>
    </row>
    <row r="1658" spans="1:26" ht="14.1" customHeight="1">
      <c r="A1658" s="144">
        <v>1696</v>
      </c>
      <c r="B1658" s="485" t="s">
        <v>253</v>
      </c>
      <c r="C1658" s="303" t="s">
        <v>762</v>
      </c>
      <c r="D1658" s="304" t="s">
        <v>98</v>
      </c>
      <c r="E1658" s="694" t="s">
        <v>329</v>
      </c>
      <c r="F1658" s="303" t="s">
        <v>382</v>
      </c>
      <c r="G1658" s="460" t="s">
        <v>881</v>
      </c>
      <c r="H1658" s="516" t="s">
        <v>100</v>
      </c>
      <c r="I1658" s="582" t="str">
        <f>VLOOKUP(H1658,'9a-Typen vloeren'!$A$10:$B$40,2,FALSE)</f>
        <v>Sprayen/ conserveren</v>
      </c>
      <c r="J1658" s="433">
        <v>4.0999999999999996</v>
      </c>
      <c r="K1658" s="433">
        <f t="shared" si="136"/>
        <v>0</v>
      </c>
      <c r="L1658" s="433">
        <f t="shared" si="137"/>
        <v>0</v>
      </c>
      <c r="M1658" s="433">
        <f t="shared" si="138"/>
        <v>0</v>
      </c>
      <c r="N1658" s="672"/>
      <c r="O1658" s="729">
        <f>IF(N1658="",0,N1658*K1658/'9b-Vloeronderhoud'!$F$4)</f>
        <v>0</v>
      </c>
      <c r="P1658" s="672"/>
      <c r="Q1658" s="729" t="e">
        <f>IF(O1658="",0,P1658*L1658/'9b-Vloeronderhoud'!$F$6)</f>
        <v>#DIV/0!</v>
      </c>
      <c r="R1658" s="449">
        <v>1</v>
      </c>
      <c r="S1658" s="672" t="s">
        <v>179</v>
      </c>
      <c r="T1658" s="161">
        <f t="shared" si="131"/>
        <v>0</v>
      </c>
      <c r="U1658" s="162">
        <f>IF(S1658="nio",0,IF(S1658&gt;0,VLOOKUP(G1658,'3-Productie normen'!A:K,VLOOKUP(S1658,'3-Productie normen'!L:N,3,FALSE),FALSE)))</f>
        <v>0</v>
      </c>
      <c r="V1658" s="162">
        <f>VLOOKUP(G1658,'3-Productie normen'!A:K,10,FALSE)</f>
        <v>5262.809993648526</v>
      </c>
      <c r="W1658" s="163">
        <f>VLOOKUP(G1658,'3-Productie normen'!A:K,11,FALSE)</f>
        <v>0</v>
      </c>
      <c r="X1658" s="163"/>
      <c r="Z1658" s="129">
        <f t="shared" si="132"/>
        <v>0</v>
      </c>
    </row>
    <row r="1659" spans="1:26" ht="14.1" customHeight="1">
      <c r="A1659" s="144">
        <v>1697</v>
      </c>
      <c r="B1659" s="485" t="s">
        <v>253</v>
      </c>
      <c r="C1659" s="303" t="s">
        <v>762</v>
      </c>
      <c r="D1659" s="304" t="s">
        <v>98</v>
      </c>
      <c r="E1659" s="694" t="s">
        <v>330</v>
      </c>
      <c r="F1659" s="303" t="s">
        <v>496</v>
      </c>
      <c r="G1659" s="546" t="s">
        <v>190</v>
      </c>
      <c r="H1659" s="516" t="s">
        <v>100</v>
      </c>
      <c r="I1659" s="582" t="str">
        <f>VLOOKUP(H1659,'9a-Typen vloeren'!$A$10:$B$40,2,FALSE)</f>
        <v>Sprayen/ conserveren</v>
      </c>
      <c r="J1659" s="433">
        <v>4.8</v>
      </c>
      <c r="K1659" s="433">
        <f t="shared" si="136"/>
        <v>4.8</v>
      </c>
      <c r="L1659" s="433">
        <f t="shared" si="137"/>
        <v>0</v>
      </c>
      <c r="M1659" s="433">
        <f t="shared" si="138"/>
        <v>0</v>
      </c>
      <c r="N1659" s="672">
        <v>2</v>
      </c>
      <c r="O1659" s="729" t="e">
        <f>IF(N1659="",0,N1659*K1659/'9b-Vloeronderhoud'!$F$4)</f>
        <v>#DIV/0!</v>
      </c>
      <c r="P1659" s="672"/>
      <c r="Q1659" s="729" t="e">
        <f>IF(O1659="",0,P1659*L1659/'9b-Vloeronderhoud'!$F$6)</f>
        <v>#DIV/0!</v>
      </c>
      <c r="R1659" s="449">
        <v>1</v>
      </c>
      <c r="S1659" s="672">
        <v>40</v>
      </c>
      <c r="T1659" s="161" t="e">
        <f t="shared" si="131"/>
        <v>#DIV/0!</v>
      </c>
      <c r="U1659" s="162">
        <f>IF(S1659="nio",0,IF(S1659&gt;0,VLOOKUP(G1659,'3-Productie normen'!A:K,VLOOKUP(S1659,'3-Productie normen'!L:N,3,FALSE),FALSE)))</f>
        <v>0</v>
      </c>
      <c r="V1659" s="162">
        <f>VLOOKUP(G1659,'3-Productie normen'!A:K,10,FALSE)</f>
        <v>281.65000052452086</v>
      </c>
      <c r="W1659" s="163">
        <f>VLOOKUP(G1659,'3-Productie normen'!A:K,11,FALSE)</f>
        <v>0</v>
      </c>
      <c r="X1659" s="163"/>
      <c r="Z1659" s="129">
        <f t="shared" si="132"/>
        <v>192</v>
      </c>
    </row>
    <row r="1660" spans="1:26" ht="14.1" customHeight="1">
      <c r="A1660" s="144">
        <v>1698</v>
      </c>
      <c r="B1660" s="485" t="s">
        <v>253</v>
      </c>
      <c r="C1660" s="303" t="s">
        <v>762</v>
      </c>
      <c r="D1660" s="304" t="s">
        <v>98</v>
      </c>
      <c r="E1660" s="694" t="s">
        <v>331</v>
      </c>
      <c r="F1660" s="303" t="s">
        <v>766</v>
      </c>
      <c r="G1660" s="460" t="s">
        <v>862</v>
      </c>
      <c r="H1660" s="516" t="s">
        <v>100</v>
      </c>
      <c r="I1660" s="582" t="str">
        <f>VLOOKUP(H1660,'9a-Typen vloeren'!$A$10:$B$40,2,FALSE)</f>
        <v>Sprayen/ conserveren</v>
      </c>
      <c r="J1660" s="433">
        <v>105.9</v>
      </c>
      <c r="K1660" s="433">
        <f t="shared" si="136"/>
        <v>105.9</v>
      </c>
      <c r="L1660" s="433">
        <f t="shared" si="137"/>
        <v>0</v>
      </c>
      <c r="M1660" s="433">
        <f t="shared" si="138"/>
        <v>0</v>
      </c>
      <c r="N1660" s="672">
        <v>2</v>
      </c>
      <c r="O1660" s="729" t="e">
        <f>IF(N1660="",0,N1660*K1660/'9b-Vloeronderhoud'!$F$4)</f>
        <v>#DIV/0!</v>
      </c>
      <c r="P1660" s="672"/>
      <c r="Q1660" s="729" t="e">
        <f>IF(O1660="",0,P1660*L1660/'9b-Vloeronderhoud'!$F$6)</f>
        <v>#DIV/0!</v>
      </c>
      <c r="R1660" s="449">
        <v>1</v>
      </c>
      <c r="S1660" s="672">
        <v>120</v>
      </c>
      <c r="T1660" s="161" t="e">
        <f t="shared" si="131"/>
        <v>#DIV/0!</v>
      </c>
      <c r="U1660" s="162">
        <f>IF(S1660="nio",0,IF(S1660&gt;0,VLOOKUP(G1660,'3-Productie normen'!A:K,VLOOKUP(S1660,'3-Productie normen'!L:N,3,FALSE),FALSE)))</f>
        <v>0</v>
      </c>
      <c r="V1660" s="162">
        <f>VLOOKUP(G1660,'3-Productie normen'!A:K,10,FALSE)</f>
        <v>4374.9900215911857</v>
      </c>
      <c r="W1660" s="163">
        <f>VLOOKUP(G1660,'3-Productie normen'!A:K,11,FALSE)</f>
        <v>0</v>
      </c>
      <c r="X1660" s="163"/>
      <c r="Z1660" s="129">
        <f t="shared" si="132"/>
        <v>12708</v>
      </c>
    </row>
    <row r="1661" spans="1:26" ht="14.1" customHeight="1">
      <c r="A1661" s="144">
        <v>1699</v>
      </c>
      <c r="B1661" s="485" t="s">
        <v>253</v>
      </c>
      <c r="C1661" s="303" t="s">
        <v>762</v>
      </c>
      <c r="D1661" s="304" t="s">
        <v>98</v>
      </c>
      <c r="E1661" s="694" t="s">
        <v>406</v>
      </c>
      <c r="F1661" s="303" t="s">
        <v>489</v>
      </c>
      <c r="G1661" s="460" t="s">
        <v>99</v>
      </c>
      <c r="H1661" s="516" t="s">
        <v>101</v>
      </c>
      <c r="I1661" s="582" t="str">
        <f>VLOOKUP(H1661,'9a-Typen vloeren'!$A$10:$B$40,2,FALSE)</f>
        <v>Schrobben</v>
      </c>
      <c r="J1661" s="433">
        <v>4.7</v>
      </c>
      <c r="K1661" s="433">
        <f t="shared" si="136"/>
        <v>0</v>
      </c>
      <c r="L1661" s="433">
        <f t="shared" si="137"/>
        <v>4.7</v>
      </c>
      <c r="M1661" s="433">
        <f t="shared" si="138"/>
        <v>0</v>
      </c>
      <c r="N1661" s="672"/>
      <c r="O1661" s="729">
        <f>IF(N1661="",0,N1661*K1661/'9b-Vloeronderhoud'!$F$4)</f>
        <v>0</v>
      </c>
      <c r="P1661" s="672">
        <v>3</v>
      </c>
      <c r="Q1661" s="729" t="e">
        <f>IF(O1661="",0,P1661*L1661/'9b-Vloeronderhoud'!$F$6)</f>
        <v>#DIV/0!</v>
      </c>
      <c r="R1661" s="449">
        <v>1</v>
      </c>
      <c r="S1661" s="672">
        <v>190</v>
      </c>
      <c r="T1661" s="161" t="e">
        <f t="shared" si="131"/>
        <v>#DIV/0!</v>
      </c>
      <c r="U1661" s="162">
        <f>IF(S1661="nio",0,IF(S1661&gt;0,VLOOKUP(G1661,'3-Productie normen'!A:K,VLOOKUP(S1661,'3-Productie normen'!L:N,3,FALSE),FALSE)))</f>
        <v>0</v>
      </c>
      <c r="V1661" s="162">
        <f>VLOOKUP(G1661,'3-Productie normen'!A:K,10,FALSE)</f>
        <v>726.97999910354622</v>
      </c>
      <c r="W1661" s="163">
        <f>VLOOKUP(G1661,'3-Productie normen'!A:K,11,FALSE)</f>
        <v>0</v>
      </c>
      <c r="X1661" s="163"/>
      <c r="Z1661" s="129">
        <f t="shared" si="132"/>
        <v>893</v>
      </c>
    </row>
    <row r="1662" spans="1:26" ht="14.1" customHeight="1">
      <c r="A1662" s="144">
        <v>1700</v>
      </c>
      <c r="B1662" s="485" t="s">
        <v>253</v>
      </c>
      <c r="C1662" s="303" t="s">
        <v>762</v>
      </c>
      <c r="D1662" s="304" t="s">
        <v>98</v>
      </c>
      <c r="E1662" s="694" t="s">
        <v>407</v>
      </c>
      <c r="F1662" s="303" t="s">
        <v>267</v>
      </c>
      <c r="G1662" s="126" t="s">
        <v>18</v>
      </c>
      <c r="H1662" s="303" t="s">
        <v>955</v>
      </c>
      <c r="I1662" s="582" t="str">
        <f>VLOOKUP(H1662,'9a-Typen vloeren'!$A$10:$B$40,2,FALSE)</f>
        <v>zie kwaliteitsontwerp</v>
      </c>
      <c r="J1662" s="433">
        <v>6.1</v>
      </c>
      <c r="K1662" s="433">
        <f t="shared" si="136"/>
        <v>0</v>
      </c>
      <c r="L1662" s="433">
        <f t="shared" si="137"/>
        <v>0</v>
      </c>
      <c r="M1662" s="433">
        <f t="shared" si="138"/>
        <v>0</v>
      </c>
      <c r="N1662" s="672"/>
      <c r="O1662" s="729">
        <f>IF(N1662="",0,N1662*K1662/'9b-Vloeronderhoud'!$F$4)</f>
        <v>0</v>
      </c>
      <c r="P1662" s="672"/>
      <c r="Q1662" s="729" t="e">
        <f>IF(O1662="",0,P1662*L1662/'9b-Vloeronderhoud'!$F$6)</f>
        <v>#DIV/0!</v>
      </c>
      <c r="R1662" s="449">
        <v>1</v>
      </c>
      <c r="S1662" s="672">
        <v>190</v>
      </c>
      <c r="T1662" s="161" t="e">
        <f t="shared" si="131"/>
        <v>#DIV/0!</v>
      </c>
      <c r="U1662" s="162">
        <f>IF(S1662="nio",0,IF(S1662&gt;0,VLOOKUP(G1662,'3-Productie normen'!A:K,VLOOKUP(S1662,'3-Productie normen'!L:N,3,FALSE),FALSE)))</f>
        <v>0</v>
      </c>
      <c r="V1662" s="162">
        <f>VLOOKUP(G1662,'3-Productie normen'!A:K,10,FALSE)</f>
        <v>1859.5880019121171</v>
      </c>
      <c r="W1662" s="163">
        <f>VLOOKUP(G1662,'3-Productie normen'!A:K,11,FALSE)</f>
        <v>0</v>
      </c>
      <c r="X1662" s="163"/>
      <c r="Z1662" s="129">
        <f t="shared" si="132"/>
        <v>1159</v>
      </c>
    </row>
    <row r="1663" spans="1:26" ht="14.1" customHeight="1">
      <c r="A1663" s="144">
        <v>1701</v>
      </c>
      <c r="B1663" s="485" t="s">
        <v>253</v>
      </c>
      <c r="C1663" s="303" t="s">
        <v>762</v>
      </c>
      <c r="D1663" s="304" t="s">
        <v>98</v>
      </c>
      <c r="E1663" s="694" t="s">
        <v>408</v>
      </c>
      <c r="F1663" s="303" t="s">
        <v>267</v>
      </c>
      <c r="G1663" s="4" t="s">
        <v>18</v>
      </c>
      <c r="H1663" s="303" t="s">
        <v>955</v>
      </c>
      <c r="I1663" s="582" t="str">
        <f>VLOOKUP(H1663,'9a-Typen vloeren'!$A$10:$B$40,2,FALSE)</f>
        <v>zie kwaliteitsontwerp</v>
      </c>
      <c r="J1663" s="433">
        <v>6.3</v>
      </c>
      <c r="K1663" s="433">
        <f t="shared" si="136"/>
        <v>0</v>
      </c>
      <c r="L1663" s="433">
        <f t="shared" si="137"/>
        <v>0</v>
      </c>
      <c r="M1663" s="433">
        <f t="shared" si="138"/>
        <v>0</v>
      </c>
      <c r="N1663" s="672"/>
      <c r="O1663" s="729">
        <f>IF(N1663="",0,N1663*K1663/'9b-Vloeronderhoud'!$F$4)</f>
        <v>0</v>
      </c>
      <c r="P1663" s="672"/>
      <c r="Q1663" s="729" t="e">
        <f>IF(O1663="",0,P1663*L1663/'9b-Vloeronderhoud'!$F$6)</f>
        <v>#DIV/0!</v>
      </c>
      <c r="R1663" s="449">
        <v>1</v>
      </c>
      <c r="S1663" s="672">
        <v>190</v>
      </c>
      <c r="T1663" s="161" t="e">
        <f t="shared" si="131"/>
        <v>#DIV/0!</v>
      </c>
      <c r="U1663" s="162">
        <f>IF(S1663="nio",0,IF(S1663&gt;0,VLOOKUP(G1663,'3-Productie normen'!A:K,VLOOKUP(S1663,'3-Productie normen'!L:N,3,FALSE),FALSE)))</f>
        <v>0</v>
      </c>
      <c r="V1663" s="162">
        <f>VLOOKUP(G1663,'3-Productie normen'!A:K,10,FALSE)</f>
        <v>1859.5880019121171</v>
      </c>
      <c r="W1663" s="163">
        <f>VLOOKUP(G1663,'3-Productie normen'!A:K,11,FALSE)</f>
        <v>0</v>
      </c>
      <c r="X1663" s="163"/>
      <c r="Z1663" s="129">
        <f t="shared" si="132"/>
        <v>1197</v>
      </c>
    </row>
    <row r="1664" spans="1:26" ht="14.1" customHeight="1">
      <c r="A1664" s="144">
        <v>1702</v>
      </c>
      <c r="B1664" s="485" t="s">
        <v>253</v>
      </c>
      <c r="C1664" s="303" t="s">
        <v>762</v>
      </c>
      <c r="D1664" s="304" t="s">
        <v>98</v>
      </c>
      <c r="E1664" s="694" t="s">
        <v>414</v>
      </c>
      <c r="F1664" s="303" t="s">
        <v>470</v>
      </c>
      <c r="G1664" s="303" t="s">
        <v>221</v>
      </c>
      <c r="H1664" s="516" t="s">
        <v>100</v>
      </c>
      <c r="I1664" s="582" t="str">
        <f>VLOOKUP(H1664,'9a-Typen vloeren'!$A$10:$B$40,2,FALSE)</f>
        <v>Sprayen/ conserveren</v>
      </c>
      <c r="J1664" s="433">
        <v>64.3</v>
      </c>
      <c r="K1664" s="433">
        <f t="shared" si="136"/>
        <v>64.3</v>
      </c>
      <c r="L1664" s="433">
        <f t="shared" si="137"/>
        <v>0</v>
      </c>
      <c r="M1664" s="433">
        <f t="shared" si="138"/>
        <v>0</v>
      </c>
      <c r="N1664" s="672"/>
      <c r="O1664" s="729">
        <f>IF(N1664="",0,N1664*K1664/'9b-Vloeronderhoud'!$F$4)</f>
        <v>0</v>
      </c>
      <c r="P1664" s="672"/>
      <c r="Q1664" s="729" t="e">
        <f>IF(O1664="",0,P1664*L1664/'9b-Vloeronderhoud'!$F$6)</f>
        <v>#DIV/0!</v>
      </c>
      <c r="R1664" s="449">
        <v>1</v>
      </c>
      <c r="S1664" s="672">
        <v>80</v>
      </c>
      <c r="T1664" s="161" t="e">
        <f t="shared" si="131"/>
        <v>#DIV/0!</v>
      </c>
      <c r="U1664" s="162">
        <f>IF(S1664="nio",0,IF(S1664&gt;0,VLOOKUP(G1664,'3-Productie normen'!A:K,VLOOKUP(S1664,'3-Productie normen'!L:N,3,FALSE),FALSE)))</f>
        <v>0</v>
      </c>
      <c r="V1664" s="162">
        <f>VLOOKUP(G1664,'3-Productie normen'!A:K,10,FALSE)</f>
        <v>16013.110036668773</v>
      </c>
      <c r="W1664" s="163">
        <f>VLOOKUP(G1664,'3-Productie normen'!A:K,11,FALSE)</f>
        <v>0</v>
      </c>
      <c r="X1664" s="163"/>
      <c r="Z1664" s="129">
        <f t="shared" si="132"/>
        <v>5144</v>
      </c>
    </row>
    <row r="1665" spans="1:26" ht="14.1" customHeight="1">
      <c r="A1665" s="144">
        <v>1703</v>
      </c>
      <c r="B1665" s="485" t="s">
        <v>253</v>
      </c>
      <c r="C1665" s="303" t="s">
        <v>762</v>
      </c>
      <c r="D1665" s="304" t="s">
        <v>98</v>
      </c>
      <c r="E1665" s="694" t="s">
        <v>415</v>
      </c>
      <c r="F1665" s="303" t="s">
        <v>470</v>
      </c>
      <c r="G1665" s="460" t="s">
        <v>221</v>
      </c>
      <c r="H1665" s="516" t="s">
        <v>100</v>
      </c>
      <c r="I1665" s="582" t="str">
        <f>VLOOKUP(H1665,'9a-Typen vloeren'!$A$10:$B$40,2,FALSE)</f>
        <v>Sprayen/ conserveren</v>
      </c>
      <c r="J1665" s="433">
        <v>56</v>
      </c>
      <c r="K1665" s="433">
        <f t="shared" si="136"/>
        <v>56</v>
      </c>
      <c r="L1665" s="433">
        <f t="shared" si="137"/>
        <v>0</v>
      </c>
      <c r="M1665" s="433">
        <f t="shared" si="138"/>
        <v>0</v>
      </c>
      <c r="N1665" s="672"/>
      <c r="O1665" s="729">
        <f>IF(N1665="",0,N1665*K1665/'9b-Vloeronderhoud'!$F$4)</f>
        <v>0</v>
      </c>
      <c r="P1665" s="672"/>
      <c r="Q1665" s="729" t="e">
        <f>IF(O1665="",0,P1665*L1665/'9b-Vloeronderhoud'!$F$6)</f>
        <v>#DIV/0!</v>
      </c>
      <c r="R1665" s="449">
        <v>1</v>
      </c>
      <c r="S1665" s="672">
        <v>80</v>
      </c>
      <c r="T1665" s="161" t="e">
        <f t="shared" si="131"/>
        <v>#DIV/0!</v>
      </c>
      <c r="U1665" s="162">
        <f>IF(S1665="nio",0,IF(S1665&gt;0,VLOOKUP(G1665,'3-Productie normen'!A:K,VLOOKUP(S1665,'3-Productie normen'!L:N,3,FALSE),FALSE)))</f>
        <v>0</v>
      </c>
      <c r="V1665" s="162">
        <f>VLOOKUP(G1665,'3-Productie normen'!A:K,10,FALSE)</f>
        <v>16013.110036668773</v>
      </c>
      <c r="W1665" s="163">
        <f>VLOOKUP(G1665,'3-Productie normen'!A:K,11,FALSE)</f>
        <v>0</v>
      </c>
      <c r="X1665" s="163"/>
      <c r="Z1665" s="129">
        <f t="shared" si="132"/>
        <v>4480</v>
      </c>
    </row>
    <row r="1666" spans="1:26" ht="14.1" customHeight="1">
      <c r="A1666" s="144">
        <v>1704</v>
      </c>
      <c r="B1666" s="485" t="s">
        <v>253</v>
      </c>
      <c r="C1666" s="303" t="s">
        <v>762</v>
      </c>
      <c r="D1666" s="304" t="s">
        <v>98</v>
      </c>
      <c r="E1666" s="694" t="s">
        <v>416</v>
      </c>
      <c r="F1666" s="303" t="s">
        <v>470</v>
      </c>
      <c r="G1666" s="4" t="s">
        <v>221</v>
      </c>
      <c r="H1666" s="516" t="s">
        <v>100</v>
      </c>
      <c r="I1666" s="582" t="str">
        <f>VLOOKUP(H1666,'9a-Typen vloeren'!$A$10:$B$40,2,FALSE)</f>
        <v>Sprayen/ conserveren</v>
      </c>
      <c r="J1666" s="433">
        <v>56</v>
      </c>
      <c r="K1666" s="433">
        <f t="shared" si="136"/>
        <v>56</v>
      </c>
      <c r="L1666" s="433">
        <f t="shared" si="137"/>
        <v>0</v>
      </c>
      <c r="M1666" s="433">
        <f t="shared" si="138"/>
        <v>0</v>
      </c>
      <c r="N1666" s="672"/>
      <c r="O1666" s="729">
        <f>IF(N1666="",0,N1666*K1666/'9b-Vloeronderhoud'!$F$4)</f>
        <v>0</v>
      </c>
      <c r="P1666" s="672"/>
      <c r="Q1666" s="729" t="e">
        <f>IF(O1666="",0,P1666*L1666/'9b-Vloeronderhoud'!$F$6)</f>
        <v>#DIV/0!</v>
      </c>
      <c r="R1666" s="449">
        <v>1</v>
      </c>
      <c r="S1666" s="672">
        <v>80</v>
      </c>
      <c r="T1666" s="161" t="e">
        <f t="shared" si="131"/>
        <v>#DIV/0!</v>
      </c>
      <c r="U1666" s="162">
        <f>IF(S1666="nio",0,IF(S1666&gt;0,VLOOKUP(G1666,'3-Productie normen'!A:K,VLOOKUP(S1666,'3-Productie normen'!L:N,3,FALSE),FALSE)))</f>
        <v>0</v>
      </c>
      <c r="V1666" s="162">
        <f>VLOOKUP(G1666,'3-Productie normen'!A:K,10,FALSE)</f>
        <v>16013.110036668773</v>
      </c>
      <c r="W1666" s="163">
        <f>VLOOKUP(G1666,'3-Productie normen'!A:K,11,FALSE)</f>
        <v>0</v>
      </c>
      <c r="X1666" s="163"/>
      <c r="Z1666" s="129">
        <f t="shared" si="132"/>
        <v>4480</v>
      </c>
    </row>
    <row r="1667" spans="1:26" ht="14.1" customHeight="1">
      <c r="A1667" s="144">
        <v>1705</v>
      </c>
      <c r="B1667" s="485" t="s">
        <v>253</v>
      </c>
      <c r="C1667" s="303" t="s">
        <v>762</v>
      </c>
      <c r="D1667" s="304" t="s">
        <v>98</v>
      </c>
      <c r="E1667" s="694" t="s">
        <v>417</v>
      </c>
      <c r="F1667" s="303" t="s">
        <v>470</v>
      </c>
      <c r="G1667" s="122" t="s">
        <v>221</v>
      </c>
      <c r="H1667" s="516" t="s">
        <v>100</v>
      </c>
      <c r="I1667" s="582" t="str">
        <f>VLOOKUP(H1667,'9a-Typen vloeren'!$A$10:$B$40,2,FALSE)</f>
        <v>Sprayen/ conserveren</v>
      </c>
      <c r="J1667" s="433">
        <v>56</v>
      </c>
      <c r="K1667" s="433">
        <f t="shared" si="136"/>
        <v>56</v>
      </c>
      <c r="L1667" s="433">
        <f t="shared" si="137"/>
        <v>0</v>
      </c>
      <c r="M1667" s="433">
        <f t="shared" si="138"/>
        <v>0</v>
      </c>
      <c r="N1667" s="672"/>
      <c r="O1667" s="729">
        <f>IF(N1667="",0,N1667*K1667/'9b-Vloeronderhoud'!$F$4)</f>
        <v>0</v>
      </c>
      <c r="P1667" s="672"/>
      <c r="Q1667" s="729" t="e">
        <f>IF(O1667="",0,P1667*L1667/'9b-Vloeronderhoud'!$F$6)</f>
        <v>#DIV/0!</v>
      </c>
      <c r="R1667" s="449">
        <v>1</v>
      </c>
      <c r="S1667" s="672">
        <v>80</v>
      </c>
      <c r="T1667" s="161" t="e">
        <f t="shared" si="131"/>
        <v>#DIV/0!</v>
      </c>
      <c r="U1667" s="162">
        <f>IF(S1667="nio",0,IF(S1667&gt;0,VLOOKUP(G1667,'3-Productie normen'!A:K,VLOOKUP(S1667,'3-Productie normen'!L:N,3,FALSE),FALSE)))</f>
        <v>0</v>
      </c>
      <c r="V1667" s="162">
        <f>VLOOKUP(G1667,'3-Productie normen'!A:K,10,FALSE)</f>
        <v>16013.110036668773</v>
      </c>
      <c r="W1667" s="163">
        <f>VLOOKUP(G1667,'3-Productie normen'!A:K,11,FALSE)</f>
        <v>0</v>
      </c>
      <c r="X1667" s="163"/>
      <c r="Z1667" s="129">
        <f t="shared" si="132"/>
        <v>4480</v>
      </c>
    </row>
    <row r="1668" spans="1:26" ht="14.1" customHeight="1">
      <c r="A1668" s="144">
        <v>1706</v>
      </c>
      <c r="B1668" s="485" t="s">
        <v>253</v>
      </c>
      <c r="C1668" s="303" t="s">
        <v>762</v>
      </c>
      <c r="D1668" s="304" t="s">
        <v>98</v>
      </c>
      <c r="E1668" s="694" t="s">
        <v>418</v>
      </c>
      <c r="F1668" s="303" t="s">
        <v>470</v>
      </c>
      <c r="G1668" s="546" t="s">
        <v>221</v>
      </c>
      <c r="H1668" s="516" t="s">
        <v>100</v>
      </c>
      <c r="I1668" s="582" t="str">
        <f>VLOOKUP(H1668,'9a-Typen vloeren'!$A$10:$B$40,2,FALSE)</f>
        <v>Sprayen/ conserveren</v>
      </c>
      <c r="J1668" s="433">
        <v>56</v>
      </c>
      <c r="K1668" s="433">
        <f t="shared" si="136"/>
        <v>56</v>
      </c>
      <c r="L1668" s="433">
        <f t="shared" si="137"/>
        <v>0</v>
      </c>
      <c r="M1668" s="433">
        <f t="shared" si="138"/>
        <v>0</v>
      </c>
      <c r="N1668" s="672"/>
      <c r="O1668" s="729">
        <f>IF(N1668="",0,N1668*K1668/'9b-Vloeronderhoud'!$F$4)</f>
        <v>0</v>
      </c>
      <c r="P1668" s="672"/>
      <c r="Q1668" s="729" t="e">
        <f>IF(O1668="",0,P1668*L1668/'9b-Vloeronderhoud'!$F$6)</f>
        <v>#DIV/0!</v>
      </c>
      <c r="R1668" s="449">
        <v>1</v>
      </c>
      <c r="S1668" s="688" t="s">
        <v>179</v>
      </c>
      <c r="T1668" s="161">
        <f t="shared" si="131"/>
        <v>0</v>
      </c>
      <c r="U1668" s="162">
        <f>IF(S1668="nio",0,IF(S1668&gt;0,VLOOKUP(G1668,'3-Productie normen'!A:K,VLOOKUP(S1668,'3-Productie normen'!L:N,3,FALSE),FALSE)))</f>
        <v>0</v>
      </c>
      <c r="V1668" s="162">
        <f>VLOOKUP(G1668,'3-Productie normen'!A:K,10,FALSE)</f>
        <v>16013.110036668773</v>
      </c>
      <c r="W1668" s="163">
        <f>VLOOKUP(G1668,'3-Productie normen'!A:K,11,FALSE)</f>
        <v>0</v>
      </c>
      <c r="X1668" s="163"/>
      <c r="Z1668" s="129">
        <f t="shared" si="132"/>
        <v>0</v>
      </c>
    </row>
    <row r="1669" spans="1:26" ht="14.1" customHeight="1">
      <c r="A1669" s="144">
        <v>1707</v>
      </c>
      <c r="B1669" s="485" t="s">
        <v>253</v>
      </c>
      <c r="C1669" s="303" t="s">
        <v>762</v>
      </c>
      <c r="D1669" s="304" t="s">
        <v>98</v>
      </c>
      <c r="E1669" s="701" t="s">
        <v>521</v>
      </c>
      <c r="F1669" s="516" t="s">
        <v>267</v>
      </c>
      <c r="G1669" s="516" t="s">
        <v>18</v>
      </c>
      <c r="H1669" s="303" t="s">
        <v>955</v>
      </c>
      <c r="I1669" s="582" t="str">
        <f>VLOOKUP(H1669,'9a-Typen vloeren'!$A$10:$B$40,2,FALSE)</f>
        <v>zie kwaliteitsontwerp</v>
      </c>
      <c r="J1669" s="433">
        <v>6.1</v>
      </c>
      <c r="K1669" s="433">
        <f t="shared" si="133"/>
        <v>0</v>
      </c>
      <c r="L1669" s="433">
        <f t="shared" si="134"/>
        <v>0</v>
      </c>
      <c r="M1669" s="433">
        <f t="shared" si="135"/>
        <v>0</v>
      </c>
      <c r="N1669" s="672"/>
      <c r="O1669" s="729">
        <f>IF(N1669="",0,N1669*K1669/'9b-Vloeronderhoud'!$F$4)</f>
        <v>0</v>
      </c>
      <c r="P1669" s="672"/>
      <c r="Q1669" s="729" t="e">
        <f>IF(O1669="",0,P1669*L1669/'9b-Vloeronderhoud'!$F$6)</f>
        <v>#DIV/0!</v>
      </c>
      <c r="R1669" s="449">
        <v>1</v>
      </c>
      <c r="S1669" s="672">
        <v>190</v>
      </c>
      <c r="T1669" s="161" t="e">
        <f t="shared" si="131"/>
        <v>#DIV/0!</v>
      </c>
      <c r="U1669" s="162">
        <f>IF(S1669="nio",0,IF(S1669&gt;0,VLOOKUP(G1669,'3-Productie normen'!A:K,VLOOKUP(S1669,'3-Productie normen'!L:N,3,FALSE),FALSE)))</f>
        <v>0</v>
      </c>
      <c r="V1669" s="162">
        <f>VLOOKUP(G1669,'3-Productie normen'!A:K,10,FALSE)</f>
        <v>1859.5880019121171</v>
      </c>
      <c r="W1669" s="163">
        <f>VLOOKUP(G1669,'3-Productie normen'!A:K,11,FALSE)</f>
        <v>0</v>
      </c>
      <c r="X1669" s="163"/>
      <c r="Z1669" s="129">
        <f t="shared" si="132"/>
        <v>1159</v>
      </c>
    </row>
    <row r="1670" spans="1:26" ht="14.1" customHeight="1">
      <c r="A1670" s="144">
        <v>1708</v>
      </c>
      <c r="B1670" s="485" t="s">
        <v>253</v>
      </c>
      <c r="C1670" s="303" t="s">
        <v>762</v>
      </c>
      <c r="D1670" s="304" t="s">
        <v>98</v>
      </c>
      <c r="E1670" s="694" t="s">
        <v>522</v>
      </c>
      <c r="F1670" s="303" t="s">
        <v>267</v>
      </c>
      <c r="G1670" s="533" t="s">
        <v>18</v>
      </c>
      <c r="H1670" s="303" t="s">
        <v>955</v>
      </c>
      <c r="I1670" s="582" t="str">
        <f>VLOOKUP(H1670,'9a-Typen vloeren'!$A$10:$B$40,2,FALSE)</f>
        <v>zie kwaliteitsontwerp</v>
      </c>
      <c r="J1670" s="433">
        <v>6.1</v>
      </c>
      <c r="K1670" s="433">
        <f t="shared" si="133"/>
        <v>0</v>
      </c>
      <c r="L1670" s="433">
        <f t="shared" si="134"/>
        <v>0</v>
      </c>
      <c r="M1670" s="433">
        <f t="shared" si="135"/>
        <v>0</v>
      </c>
      <c r="N1670" s="672"/>
      <c r="O1670" s="729">
        <f>IF(N1670="",0,N1670*K1670/'9b-Vloeronderhoud'!$F$4)</f>
        <v>0</v>
      </c>
      <c r="P1670" s="672"/>
      <c r="Q1670" s="729" t="e">
        <f>IF(O1670="",0,P1670*L1670/'9b-Vloeronderhoud'!$F$6)</f>
        <v>#DIV/0!</v>
      </c>
      <c r="R1670" s="449">
        <v>1</v>
      </c>
      <c r="S1670" s="672">
        <v>190</v>
      </c>
      <c r="T1670" s="161" t="e">
        <f t="shared" si="131"/>
        <v>#DIV/0!</v>
      </c>
      <c r="U1670" s="162">
        <f>IF(S1670="nio",0,IF(S1670&gt;0,VLOOKUP(G1670,'3-Productie normen'!A:K,VLOOKUP(S1670,'3-Productie normen'!L:N,3,FALSE),FALSE)))</f>
        <v>0</v>
      </c>
      <c r="V1670" s="162">
        <f>VLOOKUP(G1670,'3-Productie normen'!A:K,10,FALSE)</f>
        <v>1859.5880019121171</v>
      </c>
      <c r="W1670" s="163">
        <f>VLOOKUP(G1670,'3-Productie normen'!A:K,11,FALSE)</f>
        <v>0</v>
      </c>
      <c r="X1670" s="163"/>
      <c r="Z1670" s="129">
        <f t="shared" si="132"/>
        <v>1159</v>
      </c>
    </row>
    <row r="1671" spans="1:26" ht="14.1" customHeight="1">
      <c r="A1671" s="144">
        <v>1709</v>
      </c>
      <c r="B1671" s="485" t="s">
        <v>253</v>
      </c>
      <c r="C1671" s="303" t="s">
        <v>762</v>
      </c>
      <c r="D1671" s="304" t="s">
        <v>98</v>
      </c>
      <c r="E1671" s="694" t="s">
        <v>523</v>
      </c>
      <c r="F1671" s="494" t="s">
        <v>267</v>
      </c>
      <c r="G1671" s="460" t="s">
        <v>18</v>
      </c>
      <c r="H1671" s="303" t="s">
        <v>955</v>
      </c>
      <c r="I1671" s="582" t="str">
        <f>VLOOKUP(H1671,'9a-Typen vloeren'!$A$10:$B$40,2,FALSE)</f>
        <v>zie kwaliteitsontwerp</v>
      </c>
      <c r="J1671" s="433">
        <v>2.7</v>
      </c>
      <c r="K1671" s="433">
        <f t="shared" si="133"/>
        <v>0</v>
      </c>
      <c r="L1671" s="433">
        <f t="shared" si="134"/>
        <v>0</v>
      </c>
      <c r="M1671" s="433">
        <f t="shared" si="135"/>
        <v>0</v>
      </c>
      <c r="N1671" s="672"/>
      <c r="O1671" s="729">
        <f>IF(N1671="",0,N1671*K1671/'9b-Vloeronderhoud'!$F$4)</f>
        <v>0</v>
      </c>
      <c r="P1671" s="672"/>
      <c r="Q1671" s="729" t="e">
        <f>IF(O1671="",0,P1671*L1671/'9b-Vloeronderhoud'!$F$6)</f>
        <v>#DIV/0!</v>
      </c>
      <c r="R1671" s="449">
        <v>1</v>
      </c>
      <c r="S1671" s="672">
        <v>190</v>
      </c>
      <c r="T1671" s="161" t="e">
        <f t="shared" si="131"/>
        <v>#DIV/0!</v>
      </c>
      <c r="U1671" s="162">
        <f>IF(S1671="nio",0,IF(S1671&gt;0,VLOOKUP(G1671,'3-Productie normen'!A:K,VLOOKUP(S1671,'3-Productie normen'!L:N,3,FALSE),FALSE)))</f>
        <v>0</v>
      </c>
      <c r="V1671" s="162">
        <f>VLOOKUP(G1671,'3-Productie normen'!A:K,10,FALSE)</f>
        <v>1859.5880019121171</v>
      </c>
      <c r="W1671" s="163">
        <f>VLOOKUP(G1671,'3-Productie normen'!A:K,11,FALSE)</f>
        <v>0</v>
      </c>
      <c r="X1671" s="163"/>
      <c r="Z1671" s="129">
        <f t="shared" si="132"/>
        <v>513</v>
      </c>
    </row>
    <row r="1672" spans="1:26" ht="14.1" customHeight="1">
      <c r="A1672" s="144">
        <v>1710</v>
      </c>
      <c r="B1672" s="485" t="s">
        <v>253</v>
      </c>
      <c r="C1672" s="303" t="s">
        <v>762</v>
      </c>
      <c r="D1672" s="304" t="s">
        <v>98</v>
      </c>
      <c r="E1672" s="694" t="s">
        <v>524</v>
      </c>
      <c r="F1672" s="303" t="s">
        <v>267</v>
      </c>
      <c r="G1672" s="122" t="s">
        <v>18</v>
      </c>
      <c r="H1672" s="303" t="s">
        <v>955</v>
      </c>
      <c r="I1672" s="582" t="str">
        <f>VLOOKUP(H1672,'9a-Typen vloeren'!$A$10:$B$40,2,FALSE)</f>
        <v>zie kwaliteitsontwerp</v>
      </c>
      <c r="J1672" s="433">
        <v>2.7</v>
      </c>
      <c r="K1672" s="433">
        <f t="shared" si="133"/>
        <v>0</v>
      </c>
      <c r="L1672" s="433">
        <f t="shared" si="134"/>
        <v>0</v>
      </c>
      <c r="M1672" s="433">
        <f t="shared" si="135"/>
        <v>0</v>
      </c>
      <c r="N1672" s="672"/>
      <c r="O1672" s="729">
        <f>IF(N1672="",0,N1672*K1672/'9b-Vloeronderhoud'!$F$4)</f>
        <v>0</v>
      </c>
      <c r="P1672" s="672"/>
      <c r="Q1672" s="729" t="e">
        <f>IF(O1672="",0,P1672*L1672/'9b-Vloeronderhoud'!$F$6)</f>
        <v>#DIV/0!</v>
      </c>
      <c r="R1672" s="449">
        <v>1</v>
      </c>
      <c r="S1672" s="672">
        <v>190</v>
      </c>
      <c r="T1672" s="161" t="e">
        <f t="shared" si="131"/>
        <v>#DIV/0!</v>
      </c>
      <c r="U1672" s="162">
        <f>IF(S1672="nio",0,IF(S1672&gt;0,VLOOKUP(G1672,'3-Productie normen'!A:K,VLOOKUP(S1672,'3-Productie normen'!L:N,3,FALSE),FALSE)))</f>
        <v>0</v>
      </c>
      <c r="V1672" s="162">
        <f>VLOOKUP(G1672,'3-Productie normen'!A:K,10,FALSE)</f>
        <v>1859.5880019121171</v>
      </c>
      <c r="W1672" s="163">
        <f>VLOOKUP(G1672,'3-Productie normen'!A:K,11,FALSE)</f>
        <v>0</v>
      </c>
      <c r="X1672" s="163"/>
      <c r="Z1672" s="129">
        <f t="shared" si="132"/>
        <v>513</v>
      </c>
    </row>
    <row r="1673" spans="1:26" ht="14.1" customHeight="1">
      <c r="A1673" s="144">
        <v>1711</v>
      </c>
      <c r="B1673" s="485" t="s">
        <v>253</v>
      </c>
      <c r="C1673" s="303" t="s">
        <v>762</v>
      </c>
      <c r="D1673" s="304" t="s">
        <v>98</v>
      </c>
      <c r="E1673" s="694" t="s">
        <v>538</v>
      </c>
      <c r="F1673" s="303" t="s">
        <v>281</v>
      </c>
      <c r="G1673" s="460" t="s">
        <v>881</v>
      </c>
      <c r="H1673" s="516" t="s">
        <v>333</v>
      </c>
      <c r="I1673" s="582" t="str">
        <f>VLOOKUP(H1673,'9a-Typen vloeren'!$A$10:$B$40,2,FALSE)</f>
        <v>Schrobben</v>
      </c>
      <c r="J1673" s="433">
        <v>4.7</v>
      </c>
      <c r="K1673" s="433">
        <f t="shared" si="133"/>
        <v>0</v>
      </c>
      <c r="L1673" s="433">
        <f t="shared" si="134"/>
        <v>0</v>
      </c>
      <c r="M1673" s="433">
        <f t="shared" si="135"/>
        <v>0</v>
      </c>
      <c r="N1673" s="672"/>
      <c r="O1673" s="729">
        <f>IF(N1673="",0,N1673*K1673/'9b-Vloeronderhoud'!$F$4)</f>
        <v>0</v>
      </c>
      <c r="P1673" s="672"/>
      <c r="Q1673" s="729" t="e">
        <f>IF(O1673="",0,P1673*L1673/'9b-Vloeronderhoud'!$F$6)</f>
        <v>#DIV/0!</v>
      </c>
      <c r="R1673" s="449">
        <v>1</v>
      </c>
      <c r="S1673" s="672" t="s">
        <v>179</v>
      </c>
      <c r="T1673" s="161">
        <f t="shared" si="131"/>
        <v>0</v>
      </c>
      <c r="U1673" s="162">
        <f>IF(S1673="nio",0,IF(S1673&gt;0,VLOOKUP(G1673,'3-Productie normen'!A:K,VLOOKUP(S1673,'3-Productie normen'!L:N,3,FALSE),FALSE)))</f>
        <v>0</v>
      </c>
      <c r="V1673" s="162">
        <f>VLOOKUP(G1673,'3-Productie normen'!A:K,10,FALSE)</f>
        <v>5262.809993648526</v>
      </c>
      <c r="W1673" s="163">
        <f>VLOOKUP(G1673,'3-Productie normen'!A:K,11,FALSE)</f>
        <v>0</v>
      </c>
      <c r="X1673" s="163"/>
      <c r="Z1673" s="129">
        <f t="shared" si="132"/>
        <v>0</v>
      </c>
    </row>
    <row r="1674" spans="1:26" ht="14.1" customHeight="1">
      <c r="A1674" s="144">
        <v>1712</v>
      </c>
      <c r="B1674" s="485" t="s">
        <v>253</v>
      </c>
      <c r="C1674" s="303" t="s">
        <v>762</v>
      </c>
      <c r="D1674" s="304" t="s">
        <v>98</v>
      </c>
      <c r="E1674" s="694" t="s">
        <v>525</v>
      </c>
      <c r="F1674" s="303" t="s">
        <v>382</v>
      </c>
      <c r="G1674" s="460" t="s">
        <v>881</v>
      </c>
      <c r="H1674" s="516" t="s">
        <v>100</v>
      </c>
      <c r="I1674" s="582" t="str">
        <f>VLOOKUP(H1674,'9a-Typen vloeren'!$A$10:$B$40,2,FALSE)</f>
        <v>Sprayen/ conserveren</v>
      </c>
      <c r="J1674" s="433">
        <v>2.5</v>
      </c>
      <c r="K1674" s="433">
        <f t="shared" si="133"/>
        <v>0</v>
      </c>
      <c r="L1674" s="433">
        <f t="shared" si="134"/>
        <v>0</v>
      </c>
      <c r="M1674" s="433">
        <f t="shared" si="135"/>
        <v>0</v>
      </c>
      <c r="N1674" s="672"/>
      <c r="O1674" s="729">
        <f>IF(N1674="",0,N1674*K1674/'9b-Vloeronderhoud'!$F$4)</f>
        <v>0</v>
      </c>
      <c r="P1674" s="672"/>
      <c r="Q1674" s="729" t="e">
        <f>IF(O1674="",0,P1674*L1674/'9b-Vloeronderhoud'!$F$6)</f>
        <v>#DIV/0!</v>
      </c>
      <c r="R1674" s="449">
        <v>1</v>
      </c>
      <c r="S1674" s="672" t="s">
        <v>179</v>
      </c>
      <c r="T1674" s="161">
        <f t="shared" ref="T1674:T1737" si="139">IF(S1674="nio",0,IF(S1674&gt;0,S1674*J1674/U1674,0))*R1674</f>
        <v>0</v>
      </c>
      <c r="U1674" s="162">
        <f>IF(S1674="nio",0,IF(S1674&gt;0,VLOOKUP(G1674,'3-Productie normen'!A:K,VLOOKUP(S1674,'3-Productie normen'!L:N,3,FALSE),FALSE)))</f>
        <v>0</v>
      </c>
      <c r="V1674" s="162">
        <f>VLOOKUP(G1674,'3-Productie normen'!A:K,10,FALSE)</f>
        <v>5262.809993648526</v>
      </c>
      <c r="W1674" s="163">
        <f>VLOOKUP(G1674,'3-Productie normen'!A:K,11,FALSE)</f>
        <v>0</v>
      </c>
      <c r="X1674" s="163"/>
      <c r="Z1674" s="129">
        <f t="shared" ref="Z1674:Z1737" si="140">SUM(S1674:S1674)*J1674</f>
        <v>0</v>
      </c>
    </row>
    <row r="1675" spans="1:26" ht="14.1" customHeight="1">
      <c r="A1675" s="144">
        <v>1713</v>
      </c>
      <c r="B1675" s="485" t="s">
        <v>253</v>
      </c>
      <c r="C1675" s="303" t="s">
        <v>762</v>
      </c>
      <c r="D1675" s="304" t="s">
        <v>98</v>
      </c>
      <c r="E1675" s="694" t="s">
        <v>539</v>
      </c>
      <c r="F1675" s="303" t="s">
        <v>316</v>
      </c>
      <c r="G1675" s="460" t="s">
        <v>881</v>
      </c>
      <c r="H1675" s="516" t="s">
        <v>100</v>
      </c>
      <c r="I1675" s="582" t="str">
        <f>VLOOKUP(H1675,'9a-Typen vloeren'!$A$10:$B$40,2,FALSE)</f>
        <v>Sprayen/ conserveren</v>
      </c>
      <c r="J1675" s="433">
        <v>5.9</v>
      </c>
      <c r="K1675" s="433">
        <f t="shared" si="133"/>
        <v>0</v>
      </c>
      <c r="L1675" s="433">
        <f t="shared" si="134"/>
        <v>0</v>
      </c>
      <c r="M1675" s="433">
        <f t="shared" si="135"/>
        <v>0</v>
      </c>
      <c r="N1675" s="672"/>
      <c r="O1675" s="729">
        <f>IF(N1675="",0,N1675*K1675/'9b-Vloeronderhoud'!$F$4)</f>
        <v>0</v>
      </c>
      <c r="P1675" s="672"/>
      <c r="Q1675" s="729" t="e">
        <f>IF(O1675="",0,P1675*L1675/'9b-Vloeronderhoud'!$F$6)</f>
        <v>#DIV/0!</v>
      </c>
      <c r="R1675" s="449">
        <v>1</v>
      </c>
      <c r="S1675" s="672" t="s">
        <v>179</v>
      </c>
      <c r="T1675" s="161">
        <f t="shared" si="139"/>
        <v>0</v>
      </c>
      <c r="U1675" s="162">
        <f>IF(S1675="nio",0,IF(S1675&gt;0,VLOOKUP(G1675,'3-Productie normen'!A:K,VLOOKUP(S1675,'3-Productie normen'!L:N,3,FALSE),FALSE)))</f>
        <v>0</v>
      </c>
      <c r="V1675" s="162">
        <f>VLOOKUP(G1675,'3-Productie normen'!A:K,10,FALSE)</f>
        <v>5262.809993648526</v>
      </c>
      <c r="W1675" s="163">
        <f>VLOOKUP(G1675,'3-Productie normen'!A:K,11,FALSE)</f>
        <v>0</v>
      </c>
      <c r="X1675" s="163"/>
      <c r="Z1675" s="129">
        <f t="shared" si="140"/>
        <v>0</v>
      </c>
    </row>
    <row r="1676" spans="1:26" ht="14.1" customHeight="1">
      <c r="A1676" s="144">
        <v>1714</v>
      </c>
      <c r="B1676" s="485" t="s">
        <v>253</v>
      </c>
      <c r="C1676" s="303" t="s">
        <v>762</v>
      </c>
      <c r="D1676" s="304" t="s">
        <v>98</v>
      </c>
      <c r="E1676" s="694" t="s">
        <v>527</v>
      </c>
      <c r="F1676" s="303" t="s">
        <v>267</v>
      </c>
      <c r="G1676" s="533" t="s">
        <v>18</v>
      </c>
      <c r="H1676" s="303" t="s">
        <v>955</v>
      </c>
      <c r="I1676" s="582" t="str">
        <f>VLOOKUP(H1676,'9a-Typen vloeren'!$A$10:$B$40,2,FALSE)</f>
        <v>zie kwaliteitsontwerp</v>
      </c>
      <c r="J1676" s="433">
        <v>6.1</v>
      </c>
      <c r="K1676" s="433">
        <f t="shared" si="133"/>
        <v>0</v>
      </c>
      <c r="L1676" s="433">
        <f t="shared" si="134"/>
        <v>0</v>
      </c>
      <c r="M1676" s="433">
        <f t="shared" si="135"/>
        <v>0</v>
      </c>
      <c r="N1676" s="672"/>
      <c r="O1676" s="729">
        <f>IF(N1676="",0,N1676*K1676/'9b-Vloeronderhoud'!$F$4)</f>
        <v>0</v>
      </c>
      <c r="P1676" s="672"/>
      <c r="Q1676" s="729" t="e">
        <f>IF(O1676="",0,P1676*L1676/'9b-Vloeronderhoud'!$F$6)</f>
        <v>#DIV/0!</v>
      </c>
      <c r="R1676" s="449">
        <v>1</v>
      </c>
      <c r="S1676" s="672">
        <v>190</v>
      </c>
      <c r="T1676" s="161" t="e">
        <f t="shared" si="139"/>
        <v>#DIV/0!</v>
      </c>
      <c r="U1676" s="162">
        <f>IF(S1676="nio",0,IF(S1676&gt;0,VLOOKUP(G1676,'3-Productie normen'!A:K,VLOOKUP(S1676,'3-Productie normen'!L:N,3,FALSE),FALSE)))</f>
        <v>0</v>
      </c>
      <c r="V1676" s="162">
        <f>VLOOKUP(G1676,'3-Productie normen'!A:K,10,FALSE)</f>
        <v>1859.5880019121171</v>
      </c>
      <c r="W1676" s="163">
        <f>VLOOKUP(G1676,'3-Productie normen'!A:K,11,FALSE)</f>
        <v>0</v>
      </c>
      <c r="X1676" s="163"/>
      <c r="Z1676" s="129">
        <f t="shared" si="140"/>
        <v>1159</v>
      </c>
    </row>
    <row r="1677" spans="1:26" ht="14.1" customHeight="1">
      <c r="A1677" s="144">
        <v>1715</v>
      </c>
      <c r="B1677" s="485" t="s">
        <v>253</v>
      </c>
      <c r="C1677" s="303" t="s">
        <v>762</v>
      </c>
      <c r="D1677" s="304" t="s">
        <v>98</v>
      </c>
      <c r="E1677" s="694" t="s">
        <v>528</v>
      </c>
      <c r="F1677" s="303" t="s">
        <v>382</v>
      </c>
      <c r="G1677" s="460" t="s">
        <v>881</v>
      </c>
      <c r="H1677" s="516" t="s">
        <v>100</v>
      </c>
      <c r="I1677" s="582" t="str">
        <f>VLOOKUP(H1677,'9a-Typen vloeren'!$A$10:$B$40,2,FALSE)</f>
        <v>Sprayen/ conserveren</v>
      </c>
      <c r="J1677" s="433">
        <v>6.1</v>
      </c>
      <c r="K1677" s="433">
        <f t="shared" si="133"/>
        <v>0</v>
      </c>
      <c r="L1677" s="433">
        <f t="shared" si="134"/>
        <v>0</v>
      </c>
      <c r="M1677" s="433">
        <f t="shared" si="135"/>
        <v>0</v>
      </c>
      <c r="N1677" s="672"/>
      <c r="O1677" s="729">
        <f>IF(N1677="",0,N1677*K1677/'9b-Vloeronderhoud'!$F$4)</f>
        <v>0</v>
      </c>
      <c r="P1677" s="672"/>
      <c r="Q1677" s="729" t="e">
        <f>IF(O1677="",0,P1677*L1677/'9b-Vloeronderhoud'!$F$6)</f>
        <v>#DIV/0!</v>
      </c>
      <c r="R1677" s="449">
        <v>1</v>
      </c>
      <c r="S1677" s="672" t="s">
        <v>179</v>
      </c>
      <c r="T1677" s="161">
        <f t="shared" si="139"/>
        <v>0</v>
      </c>
      <c r="U1677" s="162">
        <f>IF(S1677="nio",0,IF(S1677&gt;0,VLOOKUP(G1677,'3-Productie normen'!A:K,VLOOKUP(S1677,'3-Productie normen'!L:N,3,FALSE),FALSE)))</f>
        <v>0</v>
      </c>
      <c r="V1677" s="162">
        <f>VLOOKUP(G1677,'3-Productie normen'!A:K,10,FALSE)</f>
        <v>5262.809993648526</v>
      </c>
      <c r="W1677" s="163">
        <f>VLOOKUP(G1677,'3-Productie normen'!A:K,11,FALSE)</f>
        <v>0</v>
      </c>
      <c r="X1677" s="163"/>
      <c r="Z1677" s="129">
        <f t="shared" si="140"/>
        <v>0</v>
      </c>
    </row>
    <row r="1678" spans="1:26" ht="14.1" customHeight="1">
      <c r="A1678" s="144">
        <v>1716</v>
      </c>
      <c r="B1678" s="517" t="s">
        <v>237</v>
      </c>
      <c r="C1678" s="521" t="s">
        <v>568</v>
      </c>
      <c r="D1678" s="518" t="s">
        <v>98</v>
      </c>
      <c r="E1678" s="701" t="s">
        <v>578</v>
      </c>
      <c r="F1678" s="519" t="s">
        <v>489</v>
      </c>
      <c r="G1678" s="516" t="s">
        <v>99</v>
      </c>
      <c r="H1678" s="524" t="s">
        <v>802</v>
      </c>
      <c r="I1678" s="582" t="str">
        <f>VLOOKUP(H1678,'9a-Typen vloeren'!$A$10:$B$40,2,FALSE)</f>
        <v>n.v.t.</v>
      </c>
      <c r="J1678" s="595">
        <v>4.95</v>
      </c>
      <c r="K1678" s="433">
        <f t="shared" si="133"/>
        <v>0</v>
      </c>
      <c r="L1678" s="433">
        <f t="shared" si="134"/>
        <v>0</v>
      </c>
      <c r="M1678" s="433">
        <f t="shared" si="135"/>
        <v>0</v>
      </c>
      <c r="N1678" s="672"/>
      <c r="O1678" s="729">
        <f>IF(N1678="",0,N1678*K1678/'9b-Vloeronderhoud'!$F$4)</f>
        <v>0</v>
      </c>
      <c r="P1678" s="672"/>
      <c r="Q1678" s="729" t="e">
        <f>IF(O1678="",0,P1678*L1678/'9b-Vloeronderhoud'!$F$6)</f>
        <v>#DIV/0!</v>
      </c>
      <c r="R1678" s="449">
        <v>1</v>
      </c>
      <c r="S1678" s="672">
        <v>190</v>
      </c>
      <c r="T1678" s="161" t="e">
        <f t="shared" si="139"/>
        <v>#DIV/0!</v>
      </c>
      <c r="U1678" s="162">
        <f>IF(S1678="nio",0,IF(S1678&gt;0,VLOOKUP(G1678,'3-Productie normen'!A:K,VLOOKUP(S1678,'3-Productie normen'!L:N,3,FALSE),FALSE)))</f>
        <v>0</v>
      </c>
      <c r="V1678" s="162">
        <f>VLOOKUP(G1678,'3-Productie normen'!A:K,10,FALSE)</f>
        <v>726.97999910354622</v>
      </c>
      <c r="W1678" s="163">
        <f>VLOOKUP(G1678,'3-Productie normen'!A:K,11,FALSE)</f>
        <v>0</v>
      </c>
      <c r="X1678" s="163"/>
      <c r="Z1678" s="129">
        <f t="shared" si="140"/>
        <v>940.5</v>
      </c>
    </row>
    <row r="1679" spans="1:26" ht="14.1" customHeight="1">
      <c r="A1679" s="144">
        <v>1717</v>
      </c>
      <c r="B1679" s="517" t="s">
        <v>237</v>
      </c>
      <c r="C1679" s="521" t="s">
        <v>568</v>
      </c>
      <c r="D1679" s="518" t="s">
        <v>98</v>
      </c>
      <c r="E1679" s="701" t="s">
        <v>570</v>
      </c>
      <c r="F1679" s="519" t="s">
        <v>571</v>
      </c>
      <c r="G1679" s="460" t="s">
        <v>286</v>
      </c>
      <c r="H1679" s="524" t="s">
        <v>932</v>
      </c>
      <c r="I1679" s="582" t="str">
        <f>VLOOKUP(H1679,'9a-Typen vloeren'!$A$10:$B$40,2,FALSE)</f>
        <v>Schrobben</v>
      </c>
      <c r="J1679" s="595">
        <v>41.06</v>
      </c>
      <c r="K1679" s="433">
        <f t="shared" si="133"/>
        <v>0</v>
      </c>
      <c r="L1679" s="433">
        <f t="shared" si="134"/>
        <v>41.06</v>
      </c>
      <c r="M1679" s="433">
        <f t="shared" si="135"/>
        <v>0</v>
      </c>
      <c r="N1679" s="672"/>
      <c r="O1679" s="729">
        <f>IF(N1679="",0,N1679*K1679/'9b-Vloeronderhoud'!$F$4)</f>
        <v>0</v>
      </c>
      <c r="P1679" s="672">
        <v>3</v>
      </c>
      <c r="Q1679" s="729" t="e">
        <f>IF(O1679="",0,P1679*L1679/'9b-Vloeronderhoud'!$F$6)</f>
        <v>#DIV/0!</v>
      </c>
      <c r="R1679" s="449">
        <v>1</v>
      </c>
      <c r="S1679" s="672">
        <v>120</v>
      </c>
      <c r="T1679" s="161" t="e">
        <f t="shared" si="139"/>
        <v>#DIV/0!</v>
      </c>
      <c r="U1679" s="162">
        <f>IF(S1679="nio",0,IF(S1679&gt;0,VLOOKUP(G1679,'3-Productie normen'!A:K,VLOOKUP(S1679,'3-Productie normen'!L:N,3,FALSE),FALSE)))</f>
        <v>0</v>
      </c>
      <c r="V1679" s="162">
        <f>VLOOKUP(G1679,'3-Productie normen'!A:K,10,FALSE)</f>
        <v>6152.9500017547598</v>
      </c>
      <c r="W1679" s="163">
        <f>VLOOKUP(G1679,'3-Productie normen'!A:K,11,FALSE)</f>
        <v>0</v>
      </c>
      <c r="X1679" s="163"/>
      <c r="Z1679" s="129">
        <f t="shared" si="140"/>
        <v>4927.2000000000007</v>
      </c>
    </row>
    <row r="1680" spans="1:26" ht="14.1" customHeight="1">
      <c r="A1680" s="144">
        <v>1718</v>
      </c>
      <c r="B1680" s="517" t="s">
        <v>237</v>
      </c>
      <c r="C1680" s="521" t="s">
        <v>568</v>
      </c>
      <c r="D1680" s="518" t="s">
        <v>98</v>
      </c>
      <c r="E1680" s="701" t="s">
        <v>572</v>
      </c>
      <c r="F1680" s="519" t="s">
        <v>404</v>
      </c>
      <c r="G1680" s="460" t="s">
        <v>286</v>
      </c>
      <c r="H1680" s="524" t="s">
        <v>932</v>
      </c>
      <c r="I1680" s="582" t="str">
        <f>VLOOKUP(H1680,'9a-Typen vloeren'!$A$10:$B$40,2,FALSE)</f>
        <v>Schrobben</v>
      </c>
      <c r="J1680" s="595">
        <v>12.39</v>
      </c>
      <c r="K1680" s="433">
        <f t="shared" si="133"/>
        <v>0</v>
      </c>
      <c r="L1680" s="433">
        <f t="shared" si="134"/>
        <v>12.39</v>
      </c>
      <c r="M1680" s="433">
        <f t="shared" si="135"/>
        <v>0</v>
      </c>
      <c r="N1680" s="672"/>
      <c r="O1680" s="729">
        <f>IF(N1680="",0,N1680*K1680/'9b-Vloeronderhoud'!$F$4)</f>
        <v>0</v>
      </c>
      <c r="P1680" s="672">
        <v>3</v>
      </c>
      <c r="Q1680" s="729" t="e">
        <f>IF(O1680="",0,P1680*L1680/'9b-Vloeronderhoud'!$F$6)</f>
        <v>#DIV/0!</v>
      </c>
      <c r="R1680" s="449">
        <v>1</v>
      </c>
      <c r="S1680" s="672">
        <v>120</v>
      </c>
      <c r="T1680" s="161" t="e">
        <f t="shared" si="139"/>
        <v>#DIV/0!</v>
      </c>
      <c r="U1680" s="162">
        <f>IF(S1680="nio",0,IF(S1680&gt;0,VLOOKUP(G1680,'3-Productie normen'!A:K,VLOOKUP(S1680,'3-Productie normen'!L:N,3,FALSE),FALSE)))</f>
        <v>0</v>
      </c>
      <c r="V1680" s="162">
        <f>VLOOKUP(G1680,'3-Productie normen'!A:K,10,FALSE)</f>
        <v>6152.9500017547598</v>
      </c>
      <c r="W1680" s="163">
        <f>VLOOKUP(G1680,'3-Productie normen'!A:K,11,FALSE)</f>
        <v>0</v>
      </c>
      <c r="X1680" s="163"/>
      <c r="Z1680" s="129">
        <f t="shared" si="140"/>
        <v>1486.8000000000002</v>
      </c>
    </row>
    <row r="1681" spans="1:26" ht="14.1" customHeight="1">
      <c r="A1681" s="144">
        <v>1719</v>
      </c>
      <c r="B1681" s="485" t="s">
        <v>237</v>
      </c>
      <c r="C1681" s="159" t="s">
        <v>568</v>
      </c>
      <c r="D1681" s="132" t="s">
        <v>98</v>
      </c>
      <c r="E1681" s="702" t="s">
        <v>389</v>
      </c>
      <c r="F1681" s="494" t="s">
        <v>404</v>
      </c>
      <c r="G1681" s="460" t="s">
        <v>286</v>
      </c>
      <c r="H1681" s="524" t="s">
        <v>932</v>
      </c>
      <c r="I1681" s="582" t="str">
        <f>VLOOKUP(H1681,'9a-Typen vloeren'!$A$10:$B$40,2,FALSE)</f>
        <v>Schrobben</v>
      </c>
      <c r="J1681" s="586">
        <v>6.82</v>
      </c>
      <c r="K1681" s="433">
        <f t="shared" si="133"/>
        <v>0</v>
      </c>
      <c r="L1681" s="433">
        <f t="shared" si="134"/>
        <v>6.82</v>
      </c>
      <c r="M1681" s="433">
        <f t="shared" si="135"/>
        <v>0</v>
      </c>
      <c r="N1681" s="672"/>
      <c r="O1681" s="729">
        <f>IF(N1681="",0,N1681*K1681/'9b-Vloeronderhoud'!$F$4)</f>
        <v>0</v>
      </c>
      <c r="P1681" s="672">
        <v>3</v>
      </c>
      <c r="Q1681" s="729" t="e">
        <f>IF(O1681="",0,P1681*L1681/'9b-Vloeronderhoud'!$F$6)</f>
        <v>#DIV/0!</v>
      </c>
      <c r="R1681" s="449">
        <v>1</v>
      </c>
      <c r="S1681" s="672">
        <v>120</v>
      </c>
      <c r="T1681" s="161" t="e">
        <f t="shared" si="139"/>
        <v>#DIV/0!</v>
      </c>
      <c r="U1681" s="162">
        <f>IF(S1681="nio",0,IF(S1681&gt;0,VLOOKUP(G1681,'3-Productie normen'!A:K,VLOOKUP(S1681,'3-Productie normen'!L:N,3,FALSE),FALSE)))</f>
        <v>0</v>
      </c>
      <c r="V1681" s="162">
        <f>VLOOKUP(G1681,'3-Productie normen'!A:K,10,FALSE)</f>
        <v>6152.9500017547598</v>
      </c>
      <c r="W1681" s="163">
        <f>VLOOKUP(G1681,'3-Productie normen'!A:K,11,FALSE)</f>
        <v>0</v>
      </c>
      <c r="X1681" s="163"/>
      <c r="Z1681" s="129">
        <f t="shared" si="140"/>
        <v>818.40000000000009</v>
      </c>
    </row>
    <row r="1682" spans="1:26" ht="14.1" customHeight="1">
      <c r="A1682" s="144">
        <v>1720</v>
      </c>
      <c r="B1682" s="485" t="s">
        <v>237</v>
      </c>
      <c r="C1682" s="159" t="s">
        <v>568</v>
      </c>
      <c r="D1682" s="132" t="s">
        <v>98</v>
      </c>
      <c r="E1682" s="702" t="s">
        <v>392</v>
      </c>
      <c r="F1682" s="494" t="s">
        <v>267</v>
      </c>
      <c r="G1682" s="122" t="s">
        <v>18</v>
      </c>
      <c r="H1682" s="303" t="s">
        <v>955</v>
      </c>
      <c r="I1682" s="582" t="str">
        <f>VLOOKUP(H1682,'9a-Typen vloeren'!$A$10:$B$40,2,FALSE)</f>
        <v>zie kwaliteitsontwerp</v>
      </c>
      <c r="J1682" s="586">
        <v>7.65</v>
      </c>
      <c r="K1682" s="433">
        <f t="shared" ref="K1682:K1718" si="141">IF(G1682="niet in onderhoud",0,IF(I1682="sprayen/ conserveren",J1682,0))</f>
        <v>0</v>
      </c>
      <c r="L1682" s="433">
        <f t="shared" ref="L1682:L1718" si="142">IF(G1682="niet in onderhoud",0,IF(I1682="schrobben",J1682,0))</f>
        <v>0</v>
      </c>
      <c r="M1682" s="433">
        <f t="shared" ref="M1682:M1718" si="143">IF(G1682="niet in onderhoud",0,IF(I1682="Sproei/extraheren",J1682,0))</f>
        <v>0</v>
      </c>
      <c r="N1682" s="672"/>
      <c r="O1682" s="729">
        <f>IF(N1682="",0,N1682*K1682/'9b-Vloeronderhoud'!$F$4)</f>
        <v>0</v>
      </c>
      <c r="P1682" s="672"/>
      <c r="Q1682" s="729" t="e">
        <f>IF(O1682="",0,P1682*L1682/'9b-Vloeronderhoud'!$F$6)</f>
        <v>#DIV/0!</v>
      </c>
      <c r="R1682" s="449">
        <v>1</v>
      </c>
      <c r="S1682" s="672">
        <v>190</v>
      </c>
      <c r="T1682" s="161" t="e">
        <f t="shared" si="139"/>
        <v>#DIV/0!</v>
      </c>
      <c r="U1682" s="162">
        <f>IF(S1682="nio",0,IF(S1682&gt;0,VLOOKUP(G1682,'3-Productie normen'!A:K,VLOOKUP(S1682,'3-Productie normen'!L:N,3,FALSE),FALSE)))</f>
        <v>0</v>
      </c>
      <c r="V1682" s="162">
        <f>VLOOKUP(G1682,'3-Productie normen'!A:K,10,FALSE)</f>
        <v>1859.5880019121171</v>
      </c>
      <c r="W1682" s="163">
        <f>VLOOKUP(G1682,'3-Productie normen'!A:K,11,FALSE)</f>
        <v>0</v>
      </c>
      <c r="X1682" s="163"/>
      <c r="Z1682" s="129">
        <f t="shared" si="140"/>
        <v>1453.5</v>
      </c>
    </row>
    <row r="1683" spans="1:26" ht="14.1" customHeight="1">
      <c r="A1683" s="144">
        <v>1721</v>
      </c>
      <c r="B1683" s="485" t="s">
        <v>237</v>
      </c>
      <c r="C1683" s="159" t="s">
        <v>568</v>
      </c>
      <c r="D1683" s="132" t="s">
        <v>98</v>
      </c>
      <c r="E1683" s="702" t="s">
        <v>573</v>
      </c>
      <c r="F1683" s="494" t="s">
        <v>574</v>
      </c>
      <c r="G1683" s="303" t="s">
        <v>18</v>
      </c>
      <c r="H1683" s="303" t="s">
        <v>955</v>
      </c>
      <c r="I1683" s="582" t="str">
        <f>VLOOKUP(H1683,'9a-Typen vloeren'!$A$10:$B$40,2,FALSE)</f>
        <v>zie kwaliteitsontwerp</v>
      </c>
      <c r="J1683" s="586">
        <v>3.63</v>
      </c>
      <c r="K1683" s="433">
        <f t="shared" si="141"/>
        <v>0</v>
      </c>
      <c r="L1683" s="433">
        <f t="shared" si="142"/>
        <v>0</v>
      </c>
      <c r="M1683" s="433">
        <f t="shared" si="143"/>
        <v>0</v>
      </c>
      <c r="N1683" s="672"/>
      <c r="O1683" s="729">
        <f>IF(N1683="",0,N1683*K1683/'9b-Vloeronderhoud'!$F$4)</f>
        <v>0</v>
      </c>
      <c r="P1683" s="672"/>
      <c r="Q1683" s="729" t="e">
        <f>IF(O1683="",0,P1683*L1683/'9b-Vloeronderhoud'!$F$6)</f>
        <v>#DIV/0!</v>
      </c>
      <c r="R1683" s="449">
        <v>1</v>
      </c>
      <c r="S1683" s="672">
        <v>190</v>
      </c>
      <c r="T1683" s="161" t="e">
        <f t="shared" si="139"/>
        <v>#DIV/0!</v>
      </c>
      <c r="U1683" s="162">
        <f>IF(S1683="nio",0,IF(S1683&gt;0,VLOOKUP(G1683,'3-Productie normen'!A:K,VLOOKUP(S1683,'3-Productie normen'!L:N,3,FALSE),FALSE)))</f>
        <v>0</v>
      </c>
      <c r="V1683" s="162">
        <f>VLOOKUP(G1683,'3-Productie normen'!A:K,10,FALSE)</f>
        <v>1859.5880019121171</v>
      </c>
      <c r="W1683" s="163">
        <f>VLOOKUP(G1683,'3-Productie normen'!A:K,11,FALSE)</f>
        <v>0</v>
      </c>
      <c r="X1683" s="163"/>
      <c r="Z1683" s="129">
        <f t="shared" si="140"/>
        <v>689.69999999999993</v>
      </c>
    </row>
    <row r="1684" spans="1:26" ht="14.1" customHeight="1">
      <c r="A1684" s="144">
        <v>1722</v>
      </c>
      <c r="B1684" s="485" t="s">
        <v>237</v>
      </c>
      <c r="C1684" s="159" t="s">
        <v>568</v>
      </c>
      <c r="D1684" s="132" t="s">
        <v>98</v>
      </c>
      <c r="E1684" s="702" t="s">
        <v>390</v>
      </c>
      <c r="F1684" s="494" t="s">
        <v>496</v>
      </c>
      <c r="G1684" s="460" t="s">
        <v>190</v>
      </c>
      <c r="H1684" s="524" t="s">
        <v>932</v>
      </c>
      <c r="I1684" s="582" t="str">
        <f>VLOOKUP(H1684,'9a-Typen vloeren'!$A$10:$B$40,2,FALSE)</f>
        <v>Schrobben</v>
      </c>
      <c r="J1684" s="586">
        <v>6.51</v>
      </c>
      <c r="K1684" s="433">
        <f t="shared" si="141"/>
        <v>0</v>
      </c>
      <c r="L1684" s="433">
        <f t="shared" si="142"/>
        <v>6.51</v>
      </c>
      <c r="M1684" s="433">
        <f t="shared" si="143"/>
        <v>0</v>
      </c>
      <c r="N1684" s="672"/>
      <c r="O1684" s="729">
        <f>IF(N1684="",0,N1684*K1684/'9b-Vloeronderhoud'!$F$4)</f>
        <v>0</v>
      </c>
      <c r="P1684" s="672">
        <v>3</v>
      </c>
      <c r="Q1684" s="729" t="e">
        <f>IF(O1684="",0,P1684*L1684/'9b-Vloeronderhoud'!$F$6)</f>
        <v>#DIV/0!</v>
      </c>
      <c r="R1684" s="449">
        <v>1</v>
      </c>
      <c r="S1684" s="672">
        <v>40</v>
      </c>
      <c r="T1684" s="161" t="e">
        <f t="shared" si="139"/>
        <v>#DIV/0!</v>
      </c>
      <c r="U1684" s="162">
        <f>IF(S1684="nio",0,IF(S1684&gt;0,VLOOKUP(G1684,'3-Productie normen'!A:K,VLOOKUP(S1684,'3-Productie normen'!L:N,3,FALSE),FALSE)))</f>
        <v>0</v>
      </c>
      <c r="V1684" s="162">
        <f>VLOOKUP(G1684,'3-Productie normen'!A:K,10,FALSE)</f>
        <v>281.65000052452086</v>
      </c>
      <c r="W1684" s="163">
        <f>VLOOKUP(G1684,'3-Productie normen'!A:K,11,FALSE)</f>
        <v>0</v>
      </c>
      <c r="X1684" s="163"/>
      <c r="Z1684" s="129">
        <f t="shared" si="140"/>
        <v>260.39999999999998</v>
      </c>
    </row>
    <row r="1685" spans="1:26" ht="14.1" customHeight="1">
      <c r="A1685" s="144">
        <v>1723</v>
      </c>
      <c r="B1685" s="485" t="s">
        <v>237</v>
      </c>
      <c r="C1685" s="159" t="s">
        <v>568</v>
      </c>
      <c r="D1685" s="132" t="s">
        <v>98</v>
      </c>
      <c r="E1685" s="702" t="s">
        <v>575</v>
      </c>
      <c r="F1685" s="494" t="s">
        <v>576</v>
      </c>
      <c r="G1685" s="460" t="s">
        <v>881</v>
      </c>
      <c r="H1685" s="524" t="s">
        <v>932</v>
      </c>
      <c r="I1685" s="582" t="str">
        <f>VLOOKUP(H1685,'9a-Typen vloeren'!$A$10:$B$40,2,FALSE)</f>
        <v>Schrobben</v>
      </c>
      <c r="J1685" s="586">
        <v>4.22</v>
      </c>
      <c r="K1685" s="433">
        <f t="shared" si="141"/>
        <v>0</v>
      </c>
      <c r="L1685" s="433">
        <f t="shared" si="142"/>
        <v>0</v>
      </c>
      <c r="M1685" s="433">
        <f t="shared" si="143"/>
        <v>0</v>
      </c>
      <c r="N1685" s="672"/>
      <c r="O1685" s="729">
        <f>IF(N1685="",0,N1685*K1685/'9b-Vloeronderhoud'!$F$4)</f>
        <v>0</v>
      </c>
      <c r="P1685" s="672"/>
      <c r="Q1685" s="729" t="e">
        <f>IF(O1685="",0,P1685*L1685/'9b-Vloeronderhoud'!$F$6)</f>
        <v>#DIV/0!</v>
      </c>
      <c r="R1685" s="449">
        <v>1</v>
      </c>
      <c r="S1685" s="672" t="s">
        <v>179</v>
      </c>
      <c r="T1685" s="161">
        <f t="shared" si="139"/>
        <v>0</v>
      </c>
      <c r="U1685" s="162">
        <f>IF(S1685="nio",0,IF(S1685&gt;0,VLOOKUP(G1685,'3-Productie normen'!A:K,VLOOKUP(S1685,'3-Productie normen'!L:N,3,FALSE),FALSE)))</f>
        <v>0</v>
      </c>
      <c r="V1685" s="162">
        <f>VLOOKUP(G1685,'3-Productie normen'!A:K,10,FALSE)</f>
        <v>5262.809993648526</v>
      </c>
      <c r="W1685" s="163">
        <f>VLOOKUP(G1685,'3-Productie normen'!A:K,11,FALSE)</f>
        <v>0</v>
      </c>
      <c r="X1685" s="163"/>
      <c r="Z1685" s="129">
        <f t="shared" si="140"/>
        <v>0</v>
      </c>
    </row>
    <row r="1686" spans="1:26" ht="14.1" customHeight="1">
      <c r="A1686" s="144">
        <v>1724</v>
      </c>
      <c r="B1686" s="485" t="s">
        <v>237</v>
      </c>
      <c r="C1686" s="159" t="s">
        <v>568</v>
      </c>
      <c r="D1686" s="132" t="s">
        <v>98</v>
      </c>
      <c r="E1686" s="702" t="s">
        <v>388</v>
      </c>
      <c r="F1686" s="303" t="s">
        <v>548</v>
      </c>
      <c r="G1686" s="642" t="s">
        <v>548</v>
      </c>
      <c r="H1686" s="524" t="s">
        <v>932</v>
      </c>
      <c r="I1686" s="582" t="str">
        <f>VLOOKUP(H1686,'9a-Typen vloeren'!$A$10:$B$40,2,FALSE)</f>
        <v>Schrobben</v>
      </c>
      <c r="J1686" s="586">
        <v>72.2</v>
      </c>
      <c r="K1686" s="433">
        <f t="shared" si="141"/>
        <v>0</v>
      </c>
      <c r="L1686" s="433">
        <f t="shared" si="142"/>
        <v>72.2</v>
      </c>
      <c r="M1686" s="433">
        <f t="shared" si="143"/>
        <v>0</v>
      </c>
      <c r="N1686" s="672"/>
      <c r="O1686" s="729">
        <f>IF(N1686="",0,N1686*K1686/'9b-Vloeronderhoud'!$F$4)</f>
        <v>0</v>
      </c>
      <c r="P1686" s="672">
        <v>3</v>
      </c>
      <c r="Q1686" s="729" t="e">
        <f>IF(O1686="",0,P1686*L1686/'9b-Vloeronderhoud'!$F$6)</f>
        <v>#DIV/0!</v>
      </c>
      <c r="R1686" s="449">
        <v>1</v>
      </c>
      <c r="S1686" s="672">
        <v>80</v>
      </c>
      <c r="T1686" s="161" t="e">
        <f t="shared" si="139"/>
        <v>#DIV/0!</v>
      </c>
      <c r="U1686" s="162">
        <f>IF(S1686="nio",0,IF(S1686&gt;0,VLOOKUP(G1686,'3-Productie normen'!A:K,VLOOKUP(S1686,'3-Productie normen'!L:N,3,FALSE),FALSE)))</f>
        <v>0</v>
      </c>
      <c r="V1686" s="162">
        <f>VLOOKUP(G1686,'3-Productie normen'!A:K,10,FALSE)</f>
        <v>994.10000000000014</v>
      </c>
      <c r="W1686" s="163">
        <f>VLOOKUP(G1686,'3-Productie normen'!A:K,11,FALSE)</f>
        <v>0</v>
      </c>
      <c r="X1686" s="163"/>
      <c r="Z1686" s="129">
        <f t="shared" si="140"/>
        <v>5776</v>
      </c>
    </row>
    <row r="1687" spans="1:26" ht="14.1" customHeight="1">
      <c r="A1687" s="144">
        <v>1725</v>
      </c>
      <c r="B1687" s="485" t="s">
        <v>237</v>
      </c>
      <c r="C1687" s="159" t="s">
        <v>568</v>
      </c>
      <c r="D1687" s="132" t="s">
        <v>98</v>
      </c>
      <c r="E1687" s="702" t="s">
        <v>569</v>
      </c>
      <c r="F1687" s="494" t="s">
        <v>266</v>
      </c>
      <c r="G1687" s="460" t="s">
        <v>881</v>
      </c>
      <c r="H1687" s="524" t="s">
        <v>932</v>
      </c>
      <c r="I1687" s="582" t="str">
        <f>VLOOKUP(H1687,'9a-Typen vloeren'!$A$10:$B$40,2,FALSE)</f>
        <v>Schrobben</v>
      </c>
      <c r="J1687" s="586">
        <v>1.92</v>
      </c>
      <c r="K1687" s="433">
        <f t="shared" si="141"/>
        <v>0</v>
      </c>
      <c r="L1687" s="433">
        <f t="shared" si="142"/>
        <v>0</v>
      </c>
      <c r="M1687" s="433">
        <f t="shared" si="143"/>
        <v>0</v>
      </c>
      <c r="N1687" s="672"/>
      <c r="O1687" s="729">
        <f>IF(N1687="",0,N1687*K1687/'9b-Vloeronderhoud'!$F$4)</f>
        <v>0</v>
      </c>
      <c r="P1687" s="672"/>
      <c r="Q1687" s="729" t="e">
        <f>IF(O1687="",0,P1687*L1687/'9b-Vloeronderhoud'!$F$6)</f>
        <v>#DIV/0!</v>
      </c>
      <c r="R1687" s="449">
        <v>1</v>
      </c>
      <c r="S1687" s="672" t="s">
        <v>179</v>
      </c>
      <c r="T1687" s="161">
        <f t="shared" si="139"/>
        <v>0</v>
      </c>
      <c r="U1687" s="162">
        <f>IF(S1687="nio",0,IF(S1687&gt;0,VLOOKUP(G1687,'3-Productie normen'!A:K,VLOOKUP(S1687,'3-Productie normen'!L:N,3,FALSE),FALSE)))</f>
        <v>0</v>
      </c>
      <c r="V1687" s="162">
        <f>VLOOKUP(G1687,'3-Productie normen'!A:K,10,FALSE)</f>
        <v>5262.809993648526</v>
      </c>
      <c r="W1687" s="163">
        <f>VLOOKUP(G1687,'3-Productie normen'!A:K,11,FALSE)</f>
        <v>0</v>
      </c>
      <c r="X1687" s="163"/>
      <c r="Z1687" s="129">
        <f t="shared" si="140"/>
        <v>0</v>
      </c>
    </row>
    <row r="1688" spans="1:26" ht="14.1" customHeight="1">
      <c r="A1688" s="144">
        <v>1726</v>
      </c>
      <c r="B1688" s="485" t="s">
        <v>237</v>
      </c>
      <c r="C1688" s="159" t="s">
        <v>568</v>
      </c>
      <c r="D1688" s="132" t="s">
        <v>98</v>
      </c>
      <c r="E1688" s="702" t="s">
        <v>579</v>
      </c>
      <c r="F1688" s="494" t="s">
        <v>580</v>
      </c>
      <c r="G1688" s="460" t="s">
        <v>189</v>
      </c>
      <c r="H1688" s="303" t="s">
        <v>332</v>
      </c>
      <c r="I1688" s="582" t="str">
        <f>VLOOKUP(H1688,'9a-Typen vloeren'!$A$10:$B$40,2,FALSE)</f>
        <v>Sproei/extraheren</v>
      </c>
      <c r="J1688" s="586">
        <v>8.7899999999999991</v>
      </c>
      <c r="K1688" s="433">
        <f t="shared" si="141"/>
        <v>0</v>
      </c>
      <c r="L1688" s="433">
        <f t="shared" si="142"/>
        <v>0</v>
      </c>
      <c r="M1688" s="433">
        <f t="shared" si="143"/>
        <v>8.7899999999999991</v>
      </c>
      <c r="N1688" s="672"/>
      <c r="O1688" s="729">
        <f>IF(N1688="",0,N1688*K1688/'9b-Vloeronderhoud'!$F$4)</f>
        <v>0</v>
      </c>
      <c r="P1688" s="672"/>
      <c r="Q1688" s="729" t="e">
        <f>IF(O1688="",0,P1688*L1688/'9b-Vloeronderhoud'!$F$6)</f>
        <v>#DIV/0!</v>
      </c>
      <c r="R1688" s="449">
        <v>1</v>
      </c>
      <c r="S1688" s="672">
        <v>40</v>
      </c>
      <c r="T1688" s="161" t="e">
        <f t="shared" si="139"/>
        <v>#DIV/0!</v>
      </c>
      <c r="U1688" s="162">
        <f>IF(S1688="nio",0,IF(S1688&gt;0,VLOOKUP(G1688,'3-Productie normen'!A:K,VLOOKUP(S1688,'3-Productie normen'!L:N,3,FALSE),FALSE)))</f>
        <v>0</v>
      </c>
      <c r="V1688" s="162">
        <f>VLOOKUP(G1688,'3-Productie normen'!A:K,10,FALSE)</f>
        <v>1494.1700078582762</v>
      </c>
      <c r="W1688" s="163">
        <f>VLOOKUP(G1688,'3-Productie normen'!A:K,11,FALSE)</f>
        <v>0</v>
      </c>
      <c r="X1688" s="163"/>
      <c r="Z1688" s="129">
        <f t="shared" si="140"/>
        <v>351.59999999999997</v>
      </c>
    </row>
    <row r="1689" spans="1:26" ht="14.1" customHeight="1">
      <c r="A1689" s="144">
        <v>1727</v>
      </c>
      <c r="B1689" s="485" t="s">
        <v>237</v>
      </c>
      <c r="C1689" s="159" t="s">
        <v>568</v>
      </c>
      <c r="D1689" s="132" t="s">
        <v>98</v>
      </c>
      <c r="E1689" s="702" t="s">
        <v>581</v>
      </c>
      <c r="F1689" s="494" t="s">
        <v>445</v>
      </c>
      <c r="G1689" s="303" t="s">
        <v>189</v>
      </c>
      <c r="H1689" s="303" t="s">
        <v>332</v>
      </c>
      <c r="I1689" s="582" t="str">
        <f>VLOOKUP(H1689,'9a-Typen vloeren'!$A$10:$B$40,2,FALSE)</f>
        <v>Sproei/extraheren</v>
      </c>
      <c r="J1689" s="586">
        <v>13.6</v>
      </c>
      <c r="K1689" s="433">
        <f t="shared" si="141"/>
        <v>0</v>
      </c>
      <c r="L1689" s="433">
        <f t="shared" si="142"/>
        <v>0</v>
      </c>
      <c r="M1689" s="433">
        <f t="shared" si="143"/>
        <v>13.6</v>
      </c>
      <c r="N1689" s="672"/>
      <c r="O1689" s="729">
        <f>IF(N1689="",0,N1689*K1689/'9b-Vloeronderhoud'!$F$4)</f>
        <v>0</v>
      </c>
      <c r="P1689" s="672"/>
      <c r="Q1689" s="729" t="e">
        <f>IF(O1689="",0,P1689*L1689/'9b-Vloeronderhoud'!$F$6)</f>
        <v>#DIV/0!</v>
      </c>
      <c r="R1689" s="449">
        <v>1</v>
      </c>
      <c r="S1689" s="672">
        <v>40</v>
      </c>
      <c r="T1689" s="161" t="e">
        <f t="shared" si="139"/>
        <v>#DIV/0!</v>
      </c>
      <c r="U1689" s="162">
        <f>IF(S1689="nio",0,IF(S1689&gt;0,VLOOKUP(G1689,'3-Productie normen'!A:K,VLOOKUP(S1689,'3-Productie normen'!L:N,3,FALSE),FALSE)))</f>
        <v>0</v>
      </c>
      <c r="V1689" s="162">
        <f>VLOOKUP(G1689,'3-Productie normen'!A:K,10,FALSE)</f>
        <v>1494.1700078582762</v>
      </c>
      <c r="W1689" s="163">
        <f>VLOOKUP(G1689,'3-Productie normen'!A:K,11,FALSE)</f>
        <v>0</v>
      </c>
      <c r="X1689" s="163"/>
      <c r="Z1689" s="129">
        <f t="shared" si="140"/>
        <v>544</v>
      </c>
    </row>
    <row r="1690" spans="1:26" ht="14.1" customHeight="1">
      <c r="A1690" s="144">
        <v>1728</v>
      </c>
      <c r="B1690" s="485" t="s">
        <v>237</v>
      </c>
      <c r="C1690" s="159" t="s">
        <v>568</v>
      </c>
      <c r="D1690" s="132" t="s">
        <v>98</v>
      </c>
      <c r="E1690" s="702" t="s">
        <v>583</v>
      </c>
      <c r="F1690" s="494" t="s">
        <v>537</v>
      </c>
      <c r="G1690" s="122" t="s">
        <v>191</v>
      </c>
      <c r="H1690" s="303" t="s">
        <v>332</v>
      </c>
      <c r="I1690" s="582" t="str">
        <f>VLOOKUP(H1690,'9a-Typen vloeren'!$A$10:$B$40,2,FALSE)</f>
        <v>Sproei/extraheren</v>
      </c>
      <c r="J1690" s="586">
        <v>23.41</v>
      </c>
      <c r="K1690" s="433">
        <f t="shared" si="141"/>
        <v>0</v>
      </c>
      <c r="L1690" s="433">
        <f t="shared" si="142"/>
        <v>0</v>
      </c>
      <c r="M1690" s="433">
        <f t="shared" si="143"/>
        <v>23.41</v>
      </c>
      <c r="N1690" s="672"/>
      <c r="O1690" s="729">
        <f>IF(N1690="",0,N1690*K1690/'9b-Vloeronderhoud'!$F$4)</f>
        <v>0</v>
      </c>
      <c r="P1690" s="672"/>
      <c r="Q1690" s="729" t="e">
        <f>IF(O1690="",0,P1690*L1690/'9b-Vloeronderhoud'!$F$6)</f>
        <v>#DIV/0!</v>
      </c>
      <c r="R1690" s="449">
        <v>1</v>
      </c>
      <c r="S1690" s="675">
        <v>40</v>
      </c>
      <c r="T1690" s="161" t="e">
        <f t="shared" si="139"/>
        <v>#DIV/0!</v>
      </c>
      <c r="U1690" s="162">
        <f>IF(S1690="nio",0,IF(S1690&gt;0,VLOOKUP(G1690,'3-Productie normen'!A:K,VLOOKUP(S1690,'3-Productie normen'!L:N,3,FALSE),FALSE)))</f>
        <v>0</v>
      </c>
      <c r="V1690" s="162">
        <f>VLOOKUP(G1690,'3-Productie normen'!A:K,10,FALSE)</f>
        <v>314.55999933242794</v>
      </c>
      <c r="W1690" s="163">
        <f>VLOOKUP(G1690,'3-Productie normen'!A:K,11,FALSE)</f>
        <v>0</v>
      </c>
      <c r="X1690" s="163"/>
      <c r="Z1690" s="129">
        <f t="shared" si="140"/>
        <v>936.4</v>
      </c>
    </row>
    <row r="1691" spans="1:26" ht="14.1" customHeight="1">
      <c r="A1691" s="144">
        <v>1729</v>
      </c>
      <c r="B1691" s="485" t="s">
        <v>237</v>
      </c>
      <c r="C1691" s="159" t="s">
        <v>568</v>
      </c>
      <c r="D1691" s="132" t="s">
        <v>98</v>
      </c>
      <c r="E1691" s="702" t="s">
        <v>363</v>
      </c>
      <c r="F1691" s="494" t="s">
        <v>584</v>
      </c>
      <c r="G1691" s="460" t="s">
        <v>287</v>
      </c>
      <c r="H1691" s="524" t="s">
        <v>930</v>
      </c>
      <c r="I1691" s="582" t="str">
        <f>VLOOKUP(H1691,'9a-Typen vloeren'!$A$10:$B$40,2,FALSE)</f>
        <v>n.v.t.</v>
      </c>
      <c r="J1691" s="586">
        <v>18</v>
      </c>
      <c r="K1691" s="433">
        <f t="shared" si="141"/>
        <v>0</v>
      </c>
      <c r="L1691" s="433">
        <f t="shared" si="142"/>
        <v>0</v>
      </c>
      <c r="M1691" s="433">
        <f t="shared" si="143"/>
        <v>0</v>
      </c>
      <c r="N1691" s="672"/>
      <c r="O1691" s="729">
        <f>IF(N1691="",0,N1691*K1691/'9b-Vloeronderhoud'!$F$4)</f>
        <v>0</v>
      </c>
      <c r="P1691" s="672"/>
      <c r="Q1691" s="729" t="e">
        <f>IF(O1691="",0,P1691*L1691/'9b-Vloeronderhoud'!$F$6)</f>
        <v>#DIV/0!</v>
      </c>
      <c r="R1691" s="449">
        <v>1</v>
      </c>
      <c r="S1691" s="672">
        <v>80</v>
      </c>
      <c r="T1691" s="161" t="e">
        <f t="shared" si="139"/>
        <v>#DIV/0!</v>
      </c>
      <c r="U1691" s="162">
        <f>IF(S1691="nio",0,IF(S1691&gt;0,VLOOKUP(G1691,'3-Productie normen'!A:K,VLOOKUP(S1691,'3-Productie normen'!L:N,3,FALSE),FALSE)))</f>
        <v>0</v>
      </c>
      <c r="V1691" s="162">
        <f>VLOOKUP(G1691,'3-Productie normen'!A:K,10,FALSE)</f>
        <v>519.460002565384</v>
      </c>
      <c r="W1691" s="163">
        <f>VLOOKUP(G1691,'3-Productie normen'!A:K,11,FALSE)</f>
        <v>0</v>
      </c>
      <c r="X1691" s="163"/>
      <c r="Z1691" s="129">
        <f t="shared" si="140"/>
        <v>1440</v>
      </c>
    </row>
    <row r="1692" spans="1:26" ht="14.1" customHeight="1">
      <c r="A1692" s="144">
        <v>1730</v>
      </c>
      <c r="B1692" s="485" t="s">
        <v>237</v>
      </c>
      <c r="C1692" s="159" t="s">
        <v>568</v>
      </c>
      <c r="D1692" s="132" t="s">
        <v>98</v>
      </c>
      <c r="E1692" s="702" t="s">
        <v>364</v>
      </c>
      <c r="F1692" s="160" t="s">
        <v>285</v>
      </c>
      <c r="G1692" s="460" t="s">
        <v>285</v>
      </c>
      <c r="H1692" s="524" t="s">
        <v>932</v>
      </c>
      <c r="I1692" s="582" t="str">
        <f>VLOOKUP(H1692,'9a-Typen vloeren'!$A$10:$B$40,2,FALSE)</f>
        <v>Schrobben</v>
      </c>
      <c r="J1692" s="586">
        <v>55.65</v>
      </c>
      <c r="K1692" s="433">
        <f t="shared" si="141"/>
        <v>0</v>
      </c>
      <c r="L1692" s="433">
        <f t="shared" si="142"/>
        <v>55.65</v>
      </c>
      <c r="M1692" s="433">
        <f t="shared" si="143"/>
        <v>0</v>
      </c>
      <c r="N1692" s="672"/>
      <c r="O1692" s="729">
        <f>IF(N1692="",0,N1692*K1692/'9b-Vloeronderhoud'!$F$4)</f>
        <v>0</v>
      </c>
      <c r="P1692" s="672"/>
      <c r="Q1692" s="729" t="e">
        <f>IF(O1692="",0,P1692*L1692/'9b-Vloeronderhoud'!$F$6)</f>
        <v>#DIV/0!</v>
      </c>
      <c r="R1692" s="449">
        <v>1</v>
      </c>
      <c r="S1692" s="672">
        <v>190</v>
      </c>
      <c r="T1692" s="161" t="e">
        <f t="shared" si="139"/>
        <v>#DIV/0!</v>
      </c>
      <c r="U1692" s="162">
        <f>IF(S1692="nio",0,IF(S1692&gt;0,VLOOKUP(G1692,'3-Productie normen'!A:K,VLOOKUP(S1692,'3-Productie normen'!L:N,3,FALSE),FALSE)))</f>
        <v>0</v>
      </c>
      <c r="V1692" s="162">
        <f>VLOOKUP(G1692,'3-Productie normen'!A:K,10,FALSE)</f>
        <v>3305.8200070953367</v>
      </c>
      <c r="W1692" s="163">
        <f>VLOOKUP(G1692,'3-Productie normen'!A:K,11,FALSE)</f>
        <v>0</v>
      </c>
      <c r="X1692" s="163"/>
      <c r="Z1692" s="129">
        <f t="shared" si="140"/>
        <v>10573.5</v>
      </c>
    </row>
    <row r="1693" spans="1:26" ht="14.1" customHeight="1">
      <c r="A1693" s="144">
        <v>1731</v>
      </c>
      <c r="B1693" s="485" t="s">
        <v>237</v>
      </c>
      <c r="C1693" s="159" t="s">
        <v>568</v>
      </c>
      <c r="D1693" s="132" t="s">
        <v>98</v>
      </c>
      <c r="E1693" s="702" t="s">
        <v>366</v>
      </c>
      <c r="F1693" s="494" t="s">
        <v>267</v>
      </c>
      <c r="G1693" s="460" t="s">
        <v>18</v>
      </c>
      <c r="H1693" s="303" t="s">
        <v>955</v>
      </c>
      <c r="I1693" s="582" t="str">
        <f>VLOOKUP(H1693,'9a-Typen vloeren'!$A$10:$B$40,2,FALSE)</f>
        <v>zie kwaliteitsontwerp</v>
      </c>
      <c r="J1693" s="586">
        <v>9.09</v>
      </c>
      <c r="K1693" s="433">
        <f t="shared" si="141"/>
        <v>0</v>
      </c>
      <c r="L1693" s="433">
        <f t="shared" si="142"/>
        <v>0</v>
      </c>
      <c r="M1693" s="433">
        <f t="shared" si="143"/>
        <v>0</v>
      </c>
      <c r="N1693" s="672"/>
      <c r="O1693" s="729">
        <f>IF(N1693="",0,N1693*K1693/'9b-Vloeronderhoud'!$F$4)</f>
        <v>0</v>
      </c>
      <c r="P1693" s="672"/>
      <c r="Q1693" s="729" t="e">
        <f>IF(O1693="",0,P1693*L1693/'9b-Vloeronderhoud'!$F$6)</f>
        <v>#DIV/0!</v>
      </c>
      <c r="R1693" s="449">
        <v>1</v>
      </c>
      <c r="S1693" s="672">
        <v>190</v>
      </c>
      <c r="T1693" s="161" t="e">
        <f t="shared" si="139"/>
        <v>#DIV/0!</v>
      </c>
      <c r="U1693" s="162">
        <f>IF(S1693="nio",0,IF(S1693&gt;0,VLOOKUP(G1693,'3-Productie normen'!A:K,VLOOKUP(S1693,'3-Productie normen'!L:N,3,FALSE),FALSE)))</f>
        <v>0</v>
      </c>
      <c r="V1693" s="162">
        <f>VLOOKUP(G1693,'3-Productie normen'!A:K,10,FALSE)</f>
        <v>1859.5880019121171</v>
      </c>
      <c r="W1693" s="163">
        <f>VLOOKUP(G1693,'3-Productie normen'!A:K,11,FALSE)</f>
        <v>0</v>
      </c>
      <c r="X1693" s="163"/>
      <c r="Z1693" s="129">
        <f t="shared" si="140"/>
        <v>1727.1</v>
      </c>
    </row>
    <row r="1694" spans="1:26" ht="14.1" customHeight="1">
      <c r="A1694" s="144">
        <v>1732</v>
      </c>
      <c r="B1694" s="485" t="s">
        <v>237</v>
      </c>
      <c r="C1694" s="159" t="s">
        <v>568</v>
      </c>
      <c r="D1694" s="132" t="s">
        <v>98</v>
      </c>
      <c r="E1694" s="702" t="s">
        <v>367</v>
      </c>
      <c r="F1694" s="494" t="s">
        <v>382</v>
      </c>
      <c r="G1694" s="460" t="s">
        <v>881</v>
      </c>
      <c r="H1694" s="524" t="s">
        <v>932</v>
      </c>
      <c r="I1694" s="582" t="str">
        <f>VLOOKUP(H1694,'9a-Typen vloeren'!$A$10:$B$40,2,FALSE)</f>
        <v>Schrobben</v>
      </c>
      <c r="J1694" s="586">
        <v>9.6999999999999993</v>
      </c>
      <c r="K1694" s="433">
        <f t="shared" si="141"/>
        <v>0</v>
      </c>
      <c r="L1694" s="433">
        <f t="shared" si="142"/>
        <v>0</v>
      </c>
      <c r="M1694" s="433">
        <f t="shared" si="143"/>
        <v>0</v>
      </c>
      <c r="N1694" s="672"/>
      <c r="O1694" s="729">
        <f>IF(N1694="",0,N1694*K1694/'9b-Vloeronderhoud'!$F$4)</f>
        <v>0</v>
      </c>
      <c r="P1694" s="672"/>
      <c r="Q1694" s="729" t="e">
        <f>IF(O1694="",0,P1694*L1694/'9b-Vloeronderhoud'!$F$6)</f>
        <v>#DIV/0!</v>
      </c>
      <c r="R1694" s="449">
        <v>1</v>
      </c>
      <c r="S1694" s="672" t="s">
        <v>179</v>
      </c>
      <c r="T1694" s="161">
        <f t="shared" si="139"/>
        <v>0</v>
      </c>
      <c r="U1694" s="162">
        <f>IF(S1694="nio",0,IF(S1694&gt;0,VLOOKUP(G1694,'3-Productie normen'!A:K,VLOOKUP(S1694,'3-Productie normen'!L:N,3,FALSE),FALSE)))</f>
        <v>0</v>
      </c>
      <c r="V1694" s="162">
        <f>VLOOKUP(G1694,'3-Productie normen'!A:K,10,FALSE)</f>
        <v>5262.809993648526</v>
      </c>
      <c r="W1694" s="163">
        <f>VLOOKUP(G1694,'3-Productie normen'!A:K,11,FALSE)</f>
        <v>0</v>
      </c>
      <c r="X1694" s="163"/>
      <c r="Z1694" s="129">
        <f t="shared" si="140"/>
        <v>0</v>
      </c>
    </row>
    <row r="1695" spans="1:26" ht="14.1" customHeight="1">
      <c r="A1695" s="144">
        <v>1733</v>
      </c>
      <c r="B1695" s="485" t="s">
        <v>237</v>
      </c>
      <c r="C1695" s="159" t="s">
        <v>568</v>
      </c>
      <c r="D1695" s="132" t="s">
        <v>98</v>
      </c>
      <c r="E1695" s="702" t="s">
        <v>370</v>
      </c>
      <c r="F1695" s="494" t="s">
        <v>285</v>
      </c>
      <c r="G1695" s="460" t="s">
        <v>285</v>
      </c>
      <c r="H1695" s="524" t="s">
        <v>932</v>
      </c>
      <c r="I1695" s="582" t="str">
        <f>VLOOKUP(H1695,'9a-Typen vloeren'!$A$10:$B$40,2,FALSE)</f>
        <v>Schrobben</v>
      </c>
      <c r="J1695" s="586">
        <v>55.65</v>
      </c>
      <c r="K1695" s="433">
        <f t="shared" si="141"/>
        <v>0</v>
      </c>
      <c r="L1695" s="433">
        <f t="shared" si="142"/>
        <v>55.65</v>
      </c>
      <c r="M1695" s="433">
        <f t="shared" si="143"/>
        <v>0</v>
      </c>
      <c r="N1695" s="672"/>
      <c r="O1695" s="729">
        <f>IF(N1695="",0,N1695*K1695/'9b-Vloeronderhoud'!$F$4)</f>
        <v>0</v>
      </c>
      <c r="P1695" s="672"/>
      <c r="Q1695" s="729" t="e">
        <f>IF(O1695="",0,P1695*L1695/'9b-Vloeronderhoud'!$F$6)</f>
        <v>#DIV/0!</v>
      </c>
      <c r="R1695" s="449">
        <v>1</v>
      </c>
      <c r="S1695" s="672">
        <v>190</v>
      </c>
      <c r="T1695" s="161" t="e">
        <f t="shared" si="139"/>
        <v>#DIV/0!</v>
      </c>
      <c r="U1695" s="162">
        <f>IF(S1695="nio",0,IF(S1695&gt;0,VLOOKUP(G1695,'3-Productie normen'!A:K,VLOOKUP(S1695,'3-Productie normen'!L:N,3,FALSE),FALSE)))</f>
        <v>0</v>
      </c>
      <c r="V1695" s="162">
        <f>VLOOKUP(G1695,'3-Productie normen'!A:K,10,FALSE)</f>
        <v>3305.8200070953367</v>
      </c>
      <c r="W1695" s="163">
        <f>VLOOKUP(G1695,'3-Productie normen'!A:K,11,FALSE)</f>
        <v>0</v>
      </c>
      <c r="X1695" s="163"/>
      <c r="Z1695" s="129">
        <f t="shared" si="140"/>
        <v>10573.5</v>
      </c>
    </row>
    <row r="1696" spans="1:26" ht="14.1" customHeight="1">
      <c r="A1696" s="144">
        <v>1734</v>
      </c>
      <c r="B1696" s="485" t="s">
        <v>237</v>
      </c>
      <c r="C1696" s="159" t="s">
        <v>568</v>
      </c>
      <c r="D1696" s="132" t="s">
        <v>98</v>
      </c>
      <c r="E1696" s="702" t="s">
        <v>372</v>
      </c>
      <c r="F1696" s="494" t="s">
        <v>444</v>
      </c>
      <c r="G1696" s="460" t="s">
        <v>189</v>
      </c>
      <c r="H1696" s="303" t="s">
        <v>332</v>
      </c>
      <c r="I1696" s="582" t="str">
        <f>VLOOKUP(H1696,'9a-Typen vloeren'!$A$10:$B$40,2,FALSE)</f>
        <v>Sproei/extraheren</v>
      </c>
      <c r="J1696" s="586">
        <v>10.62</v>
      </c>
      <c r="K1696" s="433">
        <f t="shared" si="141"/>
        <v>0</v>
      </c>
      <c r="L1696" s="433">
        <f t="shared" si="142"/>
        <v>0</v>
      </c>
      <c r="M1696" s="433">
        <f t="shared" si="143"/>
        <v>10.62</v>
      </c>
      <c r="N1696" s="672"/>
      <c r="O1696" s="729">
        <f>IF(N1696="",0,N1696*K1696/'9b-Vloeronderhoud'!$F$4)</f>
        <v>0</v>
      </c>
      <c r="P1696" s="672"/>
      <c r="Q1696" s="729" t="e">
        <f>IF(O1696="",0,P1696*L1696/'9b-Vloeronderhoud'!$F$6)</f>
        <v>#DIV/0!</v>
      </c>
      <c r="R1696" s="449">
        <v>1</v>
      </c>
      <c r="S1696" s="675">
        <v>40</v>
      </c>
      <c r="T1696" s="161" t="e">
        <f t="shared" si="139"/>
        <v>#DIV/0!</v>
      </c>
      <c r="U1696" s="162">
        <f>IF(S1696="nio",0,IF(S1696&gt;0,VLOOKUP(G1696,'3-Productie normen'!A:K,VLOOKUP(S1696,'3-Productie normen'!L:N,3,FALSE),FALSE)))</f>
        <v>0</v>
      </c>
      <c r="V1696" s="162">
        <f>VLOOKUP(G1696,'3-Productie normen'!A:K,10,FALSE)</f>
        <v>1494.1700078582762</v>
      </c>
      <c r="W1696" s="163">
        <f>VLOOKUP(G1696,'3-Productie normen'!A:K,11,FALSE)</f>
        <v>0</v>
      </c>
      <c r="X1696" s="163"/>
      <c r="Z1696" s="129">
        <f t="shared" si="140"/>
        <v>424.79999999999995</v>
      </c>
    </row>
    <row r="1697" spans="1:26" ht="14.1" customHeight="1">
      <c r="A1697" s="144">
        <v>1735</v>
      </c>
      <c r="B1697" s="485" t="s">
        <v>237</v>
      </c>
      <c r="C1697" s="159" t="s">
        <v>568</v>
      </c>
      <c r="D1697" s="132" t="s">
        <v>98</v>
      </c>
      <c r="E1697" s="702" t="s">
        <v>386</v>
      </c>
      <c r="F1697" s="494" t="s">
        <v>537</v>
      </c>
      <c r="G1697" s="460" t="s">
        <v>191</v>
      </c>
      <c r="H1697" s="303" t="s">
        <v>332</v>
      </c>
      <c r="I1697" s="582" t="str">
        <f>VLOOKUP(H1697,'9a-Typen vloeren'!$A$10:$B$40,2,FALSE)</f>
        <v>Sproei/extraheren</v>
      </c>
      <c r="J1697" s="586">
        <v>20.010000000000002</v>
      </c>
      <c r="K1697" s="433">
        <f t="shared" si="141"/>
        <v>0</v>
      </c>
      <c r="L1697" s="433">
        <f t="shared" si="142"/>
        <v>0</v>
      </c>
      <c r="M1697" s="433">
        <f t="shared" si="143"/>
        <v>20.010000000000002</v>
      </c>
      <c r="N1697" s="672"/>
      <c r="O1697" s="729">
        <f>IF(N1697="",0,N1697*K1697/'9b-Vloeronderhoud'!$F$4)</f>
        <v>0</v>
      </c>
      <c r="P1697" s="672"/>
      <c r="Q1697" s="729" t="e">
        <f>IF(O1697="",0,P1697*L1697/'9b-Vloeronderhoud'!$F$6)</f>
        <v>#DIV/0!</v>
      </c>
      <c r="R1697" s="449">
        <v>1</v>
      </c>
      <c r="S1697" s="675">
        <v>40</v>
      </c>
      <c r="T1697" s="161" t="e">
        <f t="shared" si="139"/>
        <v>#DIV/0!</v>
      </c>
      <c r="U1697" s="162">
        <f>IF(S1697="nio",0,IF(S1697&gt;0,VLOOKUP(G1697,'3-Productie normen'!A:K,VLOOKUP(S1697,'3-Productie normen'!L:N,3,FALSE),FALSE)))</f>
        <v>0</v>
      </c>
      <c r="V1697" s="162">
        <f>VLOOKUP(G1697,'3-Productie normen'!A:K,10,FALSE)</f>
        <v>314.55999933242794</v>
      </c>
      <c r="W1697" s="163">
        <f>VLOOKUP(G1697,'3-Productie normen'!A:K,11,FALSE)</f>
        <v>0</v>
      </c>
      <c r="X1697" s="163"/>
      <c r="Z1697" s="129">
        <f t="shared" si="140"/>
        <v>800.40000000000009</v>
      </c>
    </row>
    <row r="1698" spans="1:26" ht="14.1" customHeight="1">
      <c r="A1698" s="144">
        <v>1736</v>
      </c>
      <c r="B1698" s="485" t="s">
        <v>237</v>
      </c>
      <c r="C1698" s="159" t="s">
        <v>568</v>
      </c>
      <c r="D1698" s="132" t="s">
        <v>98</v>
      </c>
      <c r="E1698" s="702" t="s">
        <v>387</v>
      </c>
      <c r="F1698" s="494" t="s">
        <v>585</v>
      </c>
      <c r="G1698" s="460" t="s">
        <v>881</v>
      </c>
      <c r="H1698" s="303" t="s">
        <v>332</v>
      </c>
      <c r="I1698" s="582" t="str">
        <f>VLOOKUP(H1698,'9a-Typen vloeren'!$A$10:$B$40,2,FALSE)</f>
        <v>Sproei/extraheren</v>
      </c>
      <c r="J1698" s="586">
        <v>34.07</v>
      </c>
      <c r="K1698" s="433">
        <f t="shared" si="141"/>
        <v>0</v>
      </c>
      <c r="L1698" s="433">
        <f t="shared" si="142"/>
        <v>0</v>
      </c>
      <c r="M1698" s="433">
        <f t="shared" si="143"/>
        <v>0</v>
      </c>
      <c r="N1698" s="672"/>
      <c r="O1698" s="729">
        <f>IF(N1698="",0,N1698*K1698/'9b-Vloeronderhoud'!$F$4)</f>
        <v>0</v>
      </c>
      <c r="P1698" s="672"/>
      <c r="Q1698" s="729" t="e">
        <f>IF(O1698="",0,P1698*L1698/'9b-Vloeronderhoud'!$F$6)</f>
        <v>#DIV/0!</v>
      </c>
      <c r="R1698" s="449">
        <v>1</v>
      </c>
      <c r="S1698" s="672" t="s">
        <v>179</v>
      </c>
      <c r="T1698" s="161">
        <f t="shared" si="139"/>
        <v>0</v>
      </c>
      <c r="U1698" s="162">
        <f>IF(S1698="nio",0,IF(S1698&gt;0,VLOOKUP(G1698,'3-Productie normen'!A:K,VLOOKUP(S1698,'3-Productie normen'!L:N,3,FALSE),FALSE)))</f>
        <v>0</v>
      </c>
      <c r="V1698" s="162">
        <f>VLOOKUP(G1698,'3-Productie normen'!A:K,10,FALSE)</f>
        <v>5262.809993648526</v>
      </c>
      <c r="W1698" s="163">
        <f>VLOOKUP(G1698,'3-Productie normen'!A:K,11,FALSE)</f>
        <v>0</v>
      </c>
      <c r="X1698" s="163"/>
      <c r="Z1698" s="129">
        <f t="shared" si="140"/>
        <v>0</v>
      </c>
    </row>
    <row r="1699" spans="1:26" ht="14.1" customHeight="1">
      <c r="A1699" s="144">
        <v>1737</v>
      </c>
      <c r="B1699" s="485" t="s">
        <v>237</v>
      </c>
      <c r="C1699" s="159" t="s">
        <v>568</v>
      </c>
      <c r="D1699" s="132" t="s">
        <v>98</v>
      </c>
      <c r="E1699" s="702" t="s">
        <v>586</v>
      </c>
      <c r="F1699" s="494" t="s">
        <v>481</v>
      </c>
      <c r="G1699" s="303" t="s">
        <v>287</v>
      </c>
      <c r="H1699" s="524" t="s">
        <v>930</v>
      </c>
      <c r="I1699" s="582" t="str">
        <f>VLOOKUP(H1699,'9a-Typen vloeren'!$A$10:$B$40,2,FALSE)</f>
        <v>n.v.t.</v>
      </c>
      <c r="J1699" s="586">
        <v>19.27</v>
      </c>
      <c r="K1699" s="433">
        <f t="shared" si="141"/>
        <v>0</v>
      </c>
      <c r="L1699" s="433">
        <f t="shared" si="142"/>
        <v>0</v>
      </c>
      <c r="M1699" s="433">
        <f t="shared" si="143"/>
        <v>0</v>
      </c>
      <c r="N1699" s="672"/>
      <c r="O1699" s="729">
        <f>IF(N1699="",0,N1699*K1699/'9b-Vloeronderhoud'!$F$4)</f>
        <v>0</v>
      </c>
      <c r="P1699" s="672"/>
      <c r="Q1699" s="729" t="e">
        <f>IF(O1699="",0,P1699*L1699/'9b-Vloeronderhoud'!$F$6)</f>
        <v>#DIV/0!</v>
      </c>
      <c r="R1699" s="449">
        <v>1</v>
      </c>
      <c r="S1699" s="672">
        <v>80</v>
      </c>
      <c r="T1699" s="161" t="e">
        <f t="shared" si="139"/>
        <v>#DIV/0!</v>
      </c>
      <c r="U1699" s="162">
        <f>IF(S1699="nio",0,IF(S1699&gt;0,VLOOKUP(G1699,'3-Productie normen'!A:K,VLOOKUP(S1699,'3-Productie normen'!L:N,3,FALSE),FALSE)))</f>
        <v>0</v>
      </c>
      <c r="V1699" s="162">
        <f>VLOOKUP(G1699,'3-Productie normen'!A:K,10,FALSE)</f>
        <v>519.460002565384</v>
      </c>
      <c r="W1699" s="163">
        <f>VLOOKUP(G1699,'3-Productie normen'!A:K,11,FALSE)</f>
        <v>0</v>
      </c>
      <c r="X1699" s="163"/>
      <c r="Z1699" s="129">
        <f t="shared" si="140"/>
        <v>1541.6</v>
      </c>
    </row>
    <row r="1700" spans="1:26" ht="14.1" customHeight="1">
      <c r="A1700" s="144">
        <v>1738</v>
      </c>
      <c r="B1700" s="485" t="s">
        <v>237</v>
      </c>
      <c r="C1700" s="159" t="s">
        <v>568</v>
      </c>
      <c r="D1700" s="132" t="s">
        <v>98</v>
      </c>
      <c r="E1700" s="702" t="s">
        <v>587</v>
      </c>
      <c r="F1700" s="494" t="s">
        <v>404</v>
      </c>
      <c r="G1700" s="122" t="s">
        <v>286</v>
      </c>
      <c r="H1700" s="524" t="s">
        <v>932</v>
      </c>
      <c r="I1700" s="582" t="str">
        <f>VLOOKUP(H1700,'9a-Typen vloeren'!$A$10:$B$40,2,FALSE)</f>
        <v>Schrobben</v>
      </c>
      <c r="J1700" s="586">
        <v>4.62</v>
      </c>
      <c r="K1700" s="433">
        <f t="shared" si="141"/>
        <v>0</v>
      </c>
      <c r="L1700" s="433">
        <f t="shared" si="142"/>
        <v>4.62</v>
      </c>
      <c r="M1700" s="433">
        <f t="shared" si="143"/>
        <v>0</v>
      </c>
      <c r="N1700" s="672"/>
      <c r="O1700" s="729">
        <f>IF(N1700="",0,N1700*K1700/'9b-Vloeronderhoud'!$F$4)</f>
        <v>0</v>
      </c>
      <c r="P1700" s="672">
        <v>3</v>
      </c>
      <c r="Q1700" s="729" t="e">
        <f>IF(O1700="",0,P1700*L1700/'9b-Vloeronderhoud'!$F$6)</f>
        <v>#DIV/0!</v>
      </c>
      <c r="R1700" s="449">
        <v>1</v>
      </c>
      <c r="S1700" s="672">
        <v>120</v>
      </c>
      <c r="T1700" s="161" t="e">
        <f t="shared" si="139"/>
        <v>#DIV/0!</v>
      </c>
      <c r="U1700" s="162">
        <f>IF(S1700="nio",0,IF(S1700&gt;0,VLOOKUP(G1700,'3-Productie normen'!A:K,VLOOKUP(S1700,'3-Productie normen'!L:N,3,FALSE),FALSE)))</f>
        <v>0</v>
      </c>
      <c r="V1700" s="162">
        <f>VLOOKUP(G1700,'3-Productie normen'!A:K,10,FALSE)</f>
        <v>6152.9500017547598</v>
      </c>
      <c r="W1700" s="163">
        <f>VLOOKUP(G1700,'3-Productie normen'!A:K,11,FALSE)</f>
        <v>0</v>
      </c>
      <c r="X1700" s="163"/>
      <c r="Z1700" s="129">
        <f t="shared" si="140"/>
        <v>554.4</v>
      </c>
    </row>
    <row r="1701" spans="1:26" ht="14.1" customHeight="1">
      <c r="A1701" s="144">
        <v>1739</v>
      </c>
      <c r="B1701" s="485" t="s">
        <v>237</v>
      </c>
      <c r="C1701" s="159" t="s">
        <v>568</v>
      </c>
      <c r="D1701" s="132" t="s">
        <v>98</v>
      </c>
      <c r="E1701" s="702" t="s">
        <v>579</v>
      </c>
      <c r="F1701" s="494" t="s">
        <v>490</v>
      </c>
      <c r="G1701" s="460" t="s">
        <v>286</v>
      </c>
      <c r="H1701" s="524" t="s">
        <v>932</v>
      </c>
      <c r="I1701" s="582" t="str">
        <f>VLOOKUP(H1701,'9a-Typen vloeren'!$A$10:$B$40,2,FALSE)</f>
        <v>Schrobben</v>
      </c>
      <c r="J1701" s="586">
        <v>2.62</v>
      </c>
      <c r="K1701" s="433">
        <f t="shared" si="141"/>
        <v>0</v>
      </c>
      <c r="L1701" s="433">
        <f t="shared" si="142"/>
        <v>2.62</v>
      </c>
      <c r="M1701" s="433">
        <f t="shared" si="143"/>
        <v>0</v>
      </c>
      <c r="N1701" s="672"/>
      <c r="O1701" s="729">
        <f>IF(N1701="",0,N1701*K1701/'9b-Vloeronderhoud'!$F$4)</f>
        <v>0</v>
      </c>
      <c r="P1701" s="672">
        <v>3</v>
      </c>
      <c r="Q1701" s="729" t="e">
        <f>IF(O1701="",0,P1701*L1701/'9b-Vloeronderhoud'!$F$6)</f>
        <v>#DIV/0!</v>
      </c>
      <c r="R1701" s="449">
        <v>1</v>
      </c>
      <c r="S1701" s="672">
        <v>80</v>
      </c>
      <c r="T1701" s="161" t="e">
        <f t="shared" si="139"/>
        <v>#DIV/0!</v>
      </c>
      <c r="U1701" s="162">
        <f>IF(S1701="nio",0,IF(S1701&gt;0,VLOOKUP(G1701,'3-Productie normen'!A:K,VLOOKUP(S1701,'3-Productie normen'!L:N,3,FALSE),FALSE)))</f>
        <v>0</v>
      </c>
      <c r="V1701" s="162">
        <f>VLOOKUP(G1701,'3-Productie normen'!A:K,10,FALSE)</f>
        <v>6152.9500017547598</v>
      </c>
      <c r="W1701" s="163">
        <f>VLOOKUP(G1701,'3-Productie normen'!A:K,11,FALSE)</f>
        <v>0</v>
      </c>
      <c r="X1701" s="163"/>
      <c r="Z1701" s="129">
        <f t="shared" si="140"/>
        <v>209.60000000000002</v>
      </c>
    </row>
    <row r="1702" spans="1:26" ht="14.1" customHeight="1">
      <c r="A1702" s="144">
        <v>1740</v>
      </c>
      <c r="B1702" s="485" t="s">
        <v>237</v>
      </c>
      <c r="C1702" s="159" t="s">
        <v>568</v>
      </c>
      <c r="D1702" s="132" t="s">
        <v>98</v>
      </c>
      <c r="E1702" s="702" t="s">
        <v>589</v>
      </c>
      <c r="F1702" s="494" t="s">
        <v>588</v>
      </c>
      <c r="G1702" s="122" t="s">
        <v>286</v>
      </c>
      <c r="H1702" s="524" t="s">
        <v>932</v>
      </c>
      <c r="I1702" s="582" t="str">
        <f>VLOOKUP(H1702,'9a-Typen vloeren'!$A$10:$B$40,2,FALSE)</f>
        <v>Schrobben</v>
      </c>
      <c r="J1702" s="586">
        <v>25.94</v>
      </c>
      <c r="K1702" s="433">
        <f t="shared" si="141"/>
        <v>0</v>
      </c>
      <c r="L1702" s="433">
        <f t="shared" si="142"/>
        <v>25.94</v>
      </c>
      <c r="M1702" s="433">
        <f t="shared" si="143"/>
        <v>0</v>
      </c>
      <c r="N1702" s="672"/>
      <c r="O1702" s="729">
        <f>IF(N1702="",0,N1702*K1702/'9b-Vloeronderhoud'!$F$4)</f>
        <v>0</v>
      </c>
      <c r="P1702" s="672">
        <v>3</v>
      </c>
      <c r="Q1702" s="729" t="e">
        <f>IF(O1702="",0,P1702*L1702/'9b-Vloeronderhoud'!$F$6)</f>
        <v>#DIV/0!</v>
      </c>
      <c r="R1702" s="449">
        <v>1</v>
      </c>
      <c r="S1702" s="672">
        <v>120</v>
      </c>
      <c r="T1702" s="161" t="e">
        <f t="shared" si="139"/>
        <v>#DIV/0!</v>
      </c>
      <c r="U1702" s="162">
        <f>IF(S1702="nio",0,IF(S1702&gt;0,VLOOKUP(G1702,'3-Productie normen'!A:K,VLOOKUP(S1702,'3-Productie normen'!L:N,3,FALSE),FALSE)))</f>
        <v>0</v>
      </c>
      <c r="V1702" s="162">
        <f>VLOOKUP(G1702,'3-Productie normen'!A:K,10,FALSE)</f>
        <v>6152.9500017547598</v>
      </c>
      <c r="W1702" s="163">
        <f>VLOOKUP(G1702,'3-Productie normen'!A:K,11,FALSE)</f>
        <v>0</v>
      </c>
      <c r="X1702" s="163"/>
      <c r="Z1702" s="129">
        <f t="shared" si="140"/>
        <v>3112.8</v>
      </c>
    </row>
    <row r="1703" spans="1:26" ht="14.1" customHeight="1">
      <c r="A1703" s="144">
        <v>1741</v>
      </c>
      <c r="B1703" s="485" t="s">
        <v>237</v>
      </c>
      <c r="C1703" s="159" t="s">
        <v>568</v>
      </c>
      <c r="D1703" s="132" t="s">
        <v>98</v>
      </c>
      <c r="E1703" s="702" t="s">
        <v>590</v>
      </c>
      <c r="F1703" s="494" t="s">
        <v>480</v>
      </c>
      <c r="G1703" s="460" t="s">
        <v>480</v>
      </c>
      <c r="H1703" s="524" t="s">
        <v>931</v>
      </c>
      <c r="I1703" s="582" t="str">
        <f>VLOOKUP(H1703,'9a-Typen vloeren'!$A$10:$B$40,2,FALSE)</f>
        <v>Schrobben</v>
      </c>
      <c r="J1703" s="586">
        <v>2.2400000000000002</v>
      </c>
      <c r="K1703" s="433">
        <f t="shared" si="141"/>
        <v>0</v>
      </c>
      <c r="L1703" s="433">
        <f t="shared" si="142"/>
        <v>2.2400000000000002</v>
      </c>
      <c r="M1703" s="433">
        <f t="shared" si="143"/>
        <v>0</v>
      </c>
      <c r="N1703" s="672"/>
      <c r="O1703" s="729">
        <f>IF(N1703="",0,N1703*K1703/'9b-Vloeronderhoud'!$F$4)</f>
        <v>0</v>
      </c>
      <c r="P1703" s="672"/>
      <c r="Q1703" s="729" t="e">
        <f>IF(O1703="",0,P1703*L1703/'9b-Vloeronderhoud'!$F$6)</f>
        <v>#DIV/0!</v>
      </c>
      <c r="R1703" s="449">
        <v>1</v>
      </c>
      <c r="S1703" s="672">
        <v>40</v>
      </c>
      <c r="T1703" s="161" t="e">
        <f t="shared" si="139"/>
        <v>#DIV/0!</v>
      </c>
      <c r="U1703" s="162">
        <f>IF(S1703="nio",0,IF(S1703&gt;0,VLOOKUP(G1703,'3-Productie normen'!A:K,VLOOKUP(S1703,'3-Productie normen'!L:N,3,FALSE),FALSE)))</f>
        <v>0</v>
      </c>
      <c r="V1703" s="162">
        <f>VLOOKUP(G1703,'3-Productie normen'!A:K,10,FALSE)</f>
        <v>31.690000023841854</v>
      </c>
      <c r="W1703" s="163">
        <f>VLOOKUP(G1703,'3-Productie normen'!A:K,11,FALSE)</f>
        <v>0</v>
      </c>
      <c r="X1703" s="163"/>
      <c r="Z1703" s="129">
        <f t="shared" si="140"/>
        <v>89.600000000000009</v>
      </c>
    </row>
    <row r="1704" spans="1:26" ht="14.1" customHeight="1">
      <c r="A1704" s="144">
        <v>1742</v>
      </c>
      <c r="B1704" s="485" t="s">
        <v>237</v>
      </c>
      <c r="C1704" s="159" t="s">
        <v>568</v>
      </c>
      <c r="D1704" s="132" t="s">
        <v>98</v>
      </c>
      <c r="E1704" s="702" t="s">
        <v>591</v>
      </c>
      <c r="F1704" s="494" t="s">
        <v>267</v>
      </c>
      <c r="G1704" s="303" t="s">
        <v>18</v>
      </c>
      <c r="H1704" s="303" t="s">
        <v>955</v>
      </c>
      <c r="I1704" s="582" t="str">
        <f>VLOOKUP(H1704,'9a-Typen vloeren'!$A$10:$B$40,2,FALSE)</f>
        <v>zie kwaliteitsontwerp</v>
      </c>
      <c r="J1704" s="586">
        <v>1.44</v>
      </c>
      <c r="K1704" s="433">
        <f t="shared" si="141"/>
        <v>0</v>
      </c>
      <c r="L1704" s="433">
        <f t="shared" si="142"/>
        <v>0</v>
      </c>
      <c r="M1704" s="433">
        <f t="shared" si="143"/>
        <v>0</v>
      </c>
      <c r="N1704" s="672"/>
      <c r="O1704" s="729">
        <f>IF(N1704="",0,N1704*K1704/'9b-Vloeronderhoud'!$F$4)</f>
        <v>0</v>
      </c>
      <c r="P1704" s="672"/>
      <c r="Q1704" s="729" t="e">
        <f>IF(O1704="",0,P1704*L1704/'9b-Vloeronderhoud'!$F$6)</f>
        <v>#DIV/0!</v>
      </c>
      <c r="R1704" s="449">
        <v>1</v>
      </c>
      <c r="S1704" s="672">
        <v>190</v>
      </c>
      <c r="T1704" s="161" t="e">
        <f t="shared" si="139"/>
        <v>#DIV/0!</v>
      </c>
      <c r="U1704" s="162">
        <f>IF(S1704="nio",0,IF(S1704&gt;0,VLOOKUP(G1704,'3-Productie normen'!A:K,VLOOKUP(S1704,'3-Productie normen'!L:N,3,FALSE),FALSE)))</f>
        <v>0</v>
      </c>
      <c r="V1704" s="162">
        <f>VLOOKUP(G1704,'3-Productie normen'!A:K,10,FALSE)</f>
        <v>1859.5880019121171</v>
      </c>
      <c r="W1704" s="163">
        <f>VLOOKUP(G1704,'3-Productie normen'!A:K,11,FALSE)</f>
        <v>0</v>
      </c>
      <c r="X1704" s="163"/>
      <c r="Z1704" s="129">
        <f t="shared" si="140"/>
        <v>273.59999999999997</v>
      </c>
    </row>
    <row r="1705" spans="1:26" ht="14.1" customHeight="1">
      <c r="A1705" s="144">
        <v>1743</v>
      </c>
      <c r="B1705" s="485" t="s">
        <v>237</v>
      </c>
      <c r="C1705" s="159" t="s">
        <v>568</v>
      </c>
      <c r="D1705" s="132" t="s">
        <v>98</v>
      </c>
      <c r="E1705" s="702" t="s">
        <v>590</v>
      </c>
      <c r="F1705" s="494" t="s">
        <v>404</v>
      </c>
      <c r="G1705" s="122" t="s">
        <v>286</v>
      </c>
      <c r="H1705" s="524" t="s">
        <v>932</v>
      </c>
      <c r="I1705" s="582" t="str">
        <f>VLOOKUP(H1705,'9a-Typen vloeren'!$A$10:$B$40,2,FALSE)</f>
        <v>Schrobben</v>
      </c>
      <c r="J1705" s="586">
        <v>2.4</v>
      </c>
      <c r="K1705" s="433">
        <f t="shared" si="141"/>
        <v>0</v>
      </c>
      <c r="L1705" s="433">
        <f t="shared" si="142"/>
        <v>2.4</v>
      </c>
      <c r="M1705" s="433">
        <f t="shared" si="143"/>
        <v>0</v>
      </c>
      <c r="N1705" s="672"/>
      <c r="O1705" s="729">
        <f>IF(N1705="",0,N1705*K1705/'9b-Vloeronderhoud'!$F$4)</f>
        <v>0</v>
      </c>
      <c r="P1705" s="672">
        <v>3</v>
      </c>
      <c r="Q1705" s="729" t="e">
        <f>IF(O1705="",0,P1705*L1705/'9b-Vloeronderhoud'!$F$6)</f>
        <v>#DIV/0!</v>
      </c>
      <c r="R1705" s="449">
        <v>1</v>
      </c>
      <c r="S1705" s="672">
        <v>120</v>
      </c>
      <c r="T1705" s="161" t="e">
        <f t="shared" si="139"/>
        <v>#DIV/0!</v>
      </c>
      <c r="U1705" s="162">
        <f>IF(S1705="nio",0,IF(S1705&gt;0,VLOOKUP(G1705,'3-Productie normen'!A:K,VLOOKUP(S1705,'3-Productie normen'!L:N,3,FALSE),FALSE)))</f>
        <v>0</v>
      </c>
      <c r="V1705" s="162">
        <f>VLOOKUP(G1705,'3-Productie normen'!A:K,10,FALSE)</f>
        <v>6152.9500017547598</v>
      </c>
      <c r="W1705" s="163">
        <f>VLOOKUP(G1705,'3-Productie normen'!A:K,11,FALSE)</f>
        <v>0</v>
      </c>
      <c r="X1705" s="163"/>
      <c r="Z1705" s="129">
        <f t="shared" si="140"/>
        <v>288</v>
      </c>
    </row>
    <row r="1706" spans="1:26" ht="14.1" customHeight="1">
      <c r="A1706" s="144">
        <v>1744</v>
      </c>
      <c r="B1706" s="485" t="s">
        <v>237</v>
      </c>
      <c r="C1706" s="159" t="s">
        <v>568</v>
      </c>
      <c r="D1706" s="132">
        <v>1</v>
      </c>
      <c r="E1706" s="702" t="s">
        <v>589</v>
      </c>
      <c r="F1706" s="494" t="s">
        <v>404</v>
      </c>
      <c r="G1706" s="460" t="s">
        <v>286</v>
      </c>
      <c r="H1706" s="524" t="s">
        <v>932</v>
      </c>
      <c r="I1706" s="582" t="str">
        <f>VLOOKUP(H1706,'9a-Typen vloeren'!$A$10:$B$40,2,FALSE)</f>
        <v>Schrobben</v>
      </c>
      <c r="J1706" s="586">
        <v>25.94</v>
      </c>
      <c r="K1706" s="433">
        <f t="shared" si="141"/>
        <v>0</v>
      </c>
      <c r="L1706" s="433">
        <f t="shared" si="142"/>
        <v>25.94</v>
      </c>
      <c r="M1706" s="433">
        <f t="shared" si="143"/>
        <v>0</v>
      </c>
      <c r="N1706" s="672"/>
      <c r="O1706" s="729">
        <f>IF(N1706="",0,N1706*K1706/'9b-Vloeronderhoud'!$F$4)</f>
        <v>0</v>
      </c>
      <c r="P1706" s="672">
        <v>3</v>
      </c>
      <c r="Q1706" s="729" t="e">
        <f>IF(O1706="",0,P1706*L1706/'9b-Vloeronderhoud'!$F$6)</f>
        <v>#DIV/0!</v>
      </c>
      <c r="R1706" s="449">
        <v>1</v>
      </c>
      <c r="S1706" s="672">
        <v>120</v>
      </c>
      <c r="T1706" s="161" t="e">
        <f t="shared" si="139"/>
        <v>#DIV/0!</v>
      </c>
      <c r="U1706" s="162">
        <f>IF(S1706="nio",0,IF(S1706&gt;0,VLOOKUP(G1706,'3-Productie normen'!A:K,VLOOKUP(S1706,'3-Productie normen'!L:N,3,FALSE),FALSE)))</f>
        <v>0</v>
      </c>
      <c r="V1706" s="162">
        <f>VLOOKUP(G1706,'3-Productie normen'!A:K,10,FALSE)</f>
        <v>6152.9500017547598</v>
      </c>
      <c r="W1706" s="163">
        <f>VLOOKUP(G1706,'3-Productie normen'!A:K,11,FALSE)</f>
        <v>0</v>
      </c>
      <c r="X1706" s="163"/>
      <c r="Z1706" s="129">
        <f t="shared" si="140"/>
        <v>3112.8</v>
      </c>
    </row>
    <row r="1707" spans="1:26" ht="14.1" customHeight="1">
      <c r="A1707" s="144">
        <v>1745</v>
      </c>
      <c r="B1707" s="485" t="s">
        <v>237</v>
      </c>
      <c r="C1707" s="159" t="s">
        <v>568</v>
      </c>
      <c r="D1707" s="132">
        <v>1</v>
      </c>
      <c r="E1707" s="702"/>
      <c r="F1707" s="494" t="s">
        <v>316</v>
      </c>
      <c r="G1707" s="460" t="s">
        <v>881</v>
      </c>
      <c r="H1707" s="524" t="s">
        <v>932</v>
      </c>
      <c r="I1707" s="582" t="str">
        <f>VLOOKUP(H1707,'9a-Typen vloeren'!$A$10:$B$40,2,FALSE)</f>
        <v>Schrobben</v>
      </c>
      <c r="J1707" s="586">
        <v>4.8600000000000003</v>
      </c>
      <c r="K1707" s="433">
        <f t="shared" si="141"/>
        <v>0</v>
      </c>
      <c r="L1707" s="433">
        <f t="shared" si="142"/>
        <v>0</v>
      </c>
      <c r="M1707" s="433">
        <f t="shared" si="143"/>
        <v>0</v>
      </c>
      <c r="N1707" s="672"/>
      <c r="O1707" s="729">
        <f>IF(N1707="",0,N1707*K1707/'9b-Vloeronderhoud'!$F$4)</f>
        <v>0</v>
      </c>
      <c r="P1707" s="672"/>
      <c r="Q1707" s="729" t="e">
        <f>IF(O1707="",0,P1707*L1707/'9b-Vloeronderhoud'!$F$6)</f>
        <v>#DIV/0!</v>
      </c>
      <c r="R1707" s="449">
        <v>1</v>
      </c>
      <c r="S1707" s="672" t="s">
        <v>179</v>
      </c>
      <c r="T1707" s="161">
        <f t="shared" si="139"/>
        <v>0</v>
      </c>
      <c r="U1707" s="162">
        <f>IF(S1707="nio",0,IF(S1707&gt;0,VLOOKUP(G1707,'3-Productie normen'!A:K,VLOOKUP(S1707,'3-Productie normen'!L:N,3,FALSE),FALSE)))</f>
        <v>0</v>
      </c>
      <c r="V1707" s="162">
        <f>VLOOKUP(G1707,'3-Productie normen'!A:K,10,FALSE)</f>
        <v>5262.809993648526</v>
      </c>
      <c r="W1707" s="163">
        <f>VLOOKUP(G1707,'3-Productie normen'!A:K,11,FALSE)</f>
        <v>0</v>
      </c>
      <c r="X1707" s="163"/>
      <c r="Z1707" s="129">
        <f t="shared" si="140"/>
        <v>0</v>
      </c>
    </row>
    <row r="1708" spans="1:26" ht="14.1" customHeight="1">
      <c r="A1708" s="144">
        <v>1746</v>
      </c>
      <c r="B1708" s="485" t="s">
        <v>237</v>
      </c>
      <c r="C1708" s="159" t="s">
        <v>568</v>
      </c>
      <c r="D1708" s="132">
        <v>1</v>
      </c>
      <c r="E1708" s="702" t="s">
        <v>592</v>
      </c>
      <c r="F1708" s="494" t="s">
        <v>382</v>
      </c>
      <c r="G1708" s="460" t="s">
        <v>881</v>
      </c>
      <c r="H1708" s="524" t="s">
        <v>932</v>
      </c>
      <c r="I1708" s="582" t="str">
        <f>VLOOKUP(H1708,'9a-Typen vloeren'!$A$10:$B$40,2,FALSE)</f>
        <v>Schrobben</v>
      </c>
      <c r="J1708" s="586">
        <v>10.23</v>
      </c>
      <c r="K1708" s="433">
        <f t="shared" si="141"/>
        <v>0</v>
      </c>
      <c r="L1708" s="433">
        <f t="shared" si="142"/>
        <v>0</v>
      </c>
      <c r="M1708" s="433">
        <f t="shared" si="143"/>
        <v>0</v>
      </c>
      <c r="N1708" s="672"/>
      <c r="O1708" s="729">
        <f>IF(N1708="",0,N1708*K1708/'9b-Vloeronderhoud'!$F$4)</f>
        <v>0</v>
      </c>
      <c r="P1708" s="672"/>
      <c r="Q1708" s="729" t="e">
        <f>IF(O1708="",0,P1708*L1708/'9b-Vloeronderhoud'!$F$6)</f>
        <v>#DIV/0!</v>
      </c>
      <c r="R1708" s="449">
        <v>1</v>
      </c>
      <c r="S1708" s="672" t="s">
        <v>179</v>
      </c>
      <c r="T1708" s="161">
        <f t="shared" si="139"/>
        <v>0</v>
      </c>
      <c r="U1708" s="162">
        <f>IF(S1708="nio",0,IF(S1708&gt;0,VLOOKUP(G1708,'3-Productie normen'!A:K,VLOOKUP(S1708,'3-Productie normen'!L:N,3,FALSE),FALSE)))</f>
        <v>0</v>
      </c>
      <c r="V1708" s="162">
        <f>VLOOKUP(G1708,'3-Productie normen'!A:K,10,FALSE)</f>
        <v>5262.809993648526</v>
      </c>
      <c r="W1708" s="163">
        <f>VLOOKUP(G1708,'3-Productie normen'!A:K,11,FALSE)</f>
        <v>0</v>
      </c>
      <c r="X1708" s="163"/>
      <c r="Z1708" s="129">
        <f t="shared" si="140"/>
        <v>0</v>
      </c>
    </row>
    <row r="1709" spans="1:26" ht="14.1" customHeight="1">
      <c r="A1709" s="144">
        <v>1747</v>
      </c>
      <c r="B1709" s="485" t="s">
        <v>237</v>
      </c>
      <c r="C1709" s="159" t="s">
        <v>568</v>
      </c>
      <c r="D1709" s="132">
        <v>1</v>
      </c>
      <c r="E1709" s="702" t="s">
        <v>593</v>
      </c>
      <c r="F1709" s="494" t="s">
        <v>470</v>
      </c>
      <c r="G1709" s="460" t="s">
        <v>221</v>
      </c>
      <c r="H1709" s="524" t="s">
        <v>932</v>
      </c>
      <c r="I1709" s="582" t="str">
        <f>VLOOKUP(H1709,'9a-Typen vloeren'!$A$10:$B$40,2,FALSE)</f>
        <v>Schrobben</v>
      </c>
      <c r="J1709" s="586">
        <v>55.03</v>
      </c>
      <c r="K1709" s="433">
        <f t="shared" si="141"/>
        <v>0</v>
      </c>
      <c r="L1709" s="433">
        <f t="shared" si="142"/>
        <v>55.03</v>
      </c>
      <c r="M1709" s="433">
        <f t="shared" si="143"/>
        <v>0</v>
      </c>
      <c r="N1709" s="672"/>
      <c r="O1709" s="729">
        <f>IF(N1709="",0,N1709*K1709/'9b-Vloeronderhoud'!$F$4)</f>
        <v>0</v>
      </c>
      <c r="P1709" s="672"/>
      <c r="Q1709" s="729" t="e">
        <f>IF(O1709="",0,P1709*L1709/'9b-Vloeronderhoud'!$F$6)</f>
        <v>#DIV/0!</v>
      </c>
      <c r="R1709" s="449">
        <v>1</v>
      </c>
      <c r="S1709" s="672">
        <v>80</v>
      </c>
      <c r="T1709" s="161" t="e">
        <f t="shared" si="139"/>
        <v>#DIV/0!</v>
      </c>
      <c r="U1709" s="162">
        <f>IF(S1709="nio",0,IF(S1709&gt;0,VLOOKUP(G1709,'3-Productie normen'!A:K,VLOOKUP(S1709,'3-Productie normen'!L:N,3,FALSE),FALSE)))</f>
        <v>0</v>
      </c>
      <c r="V1709" s="162">
        <f>VLOOKUP(G1709,'3-Productie normen'!A:K,10,FALSE)</f>
        <v>16013.110036668773</v>
      </c>
      <c r="W1709" s="163">
        <f>VLOOKUP(G1709,'3-Productie normen'!A:K,11,FALSE)</f>
        <v>0</v>
      </c>
      <c r="X1709" s="163"/>
      <c r="Z1709" s="129">
        <f t="shared" si="140"/>
        <v>4402.3999999999996</v>
      </c>
    </row>
    <row r="1710" spans="1:26" ht="14.1" customHeight="1">
      <c r="A1710" s="144">
        <v>1748</v>
      </c>
      <c r="B1710" s="485" t="s">
        <v>237</v>
      </c>
      <c r="C1710" s="159" t="s">
        <v>568</v>
      </c>
      <c r="D1710" s="132">
        <v>1</v>
      </c>
      <c r="E1710" s="702" t="s">
        <v>595</v>
      </c>
      <c r="F1710" s="494" t="s">
        <v>594</v>
      </c>
      <c r="G1710" s="122" t="s">
        <v>286</v>
      </c>
      <c r="H1710" s="524" t="s">
        <v>932</v>
      </c>
      <c r="I1710" s="582" t="str">
        <f>VLOOKUP(H1710,'9a-Typen vloeren'!$A$10:$B$40,2,FALSE)</f>
        <v>Schrobben</v>
      </c>
      <c r="J1710" s="586">
        <v>13.57</v>
      </c>
      <c r="K1710" s="433">
        <f t="shared" si="141"/>
        <v>0</v>
      </c>
      <c r="L1710" s="433">
        <f t="shared" si="142"/>
        <v>13.57</v>
      </c>
      <c r="M1710" s="433">
        <f t="shared" si="143"/>
        <v>0</v>
      </c>
      <c r="N1710" s="672"/>
      <c r="O1710" s="729">
        <f>IF(N1710="",0,N1710*K1710/'9b-Vloeronderhoud'!$F$4)</f>
        <v>0</v>
      </c>
      <c r="P1710" s="672">
        <v>3</v>
      </c>
      <c r="Q1710" s="729" t="e">
        <f>IF(O1710="",0,P1710*L1710/'9b-Vloeronderhoud'!$F$6)</f>
        <v>#DIV/0!</v>
      </c>
      <c r="R1710" s="449">
        <v>1</v>
      </c>
      <c r="S1710" s="672">
        <v>80</v>
      </c>
      <c r="T1710" s="161" t="e">
        <f t="shared" si="139"/>
        <v>#DIV/0!</v>
      </c>
      <c r="U1710" s="162">
        <f>IF(S1710="nio",0,IF(S1710&gt;0,VLOOKUP(G1710,'3-Productie normen'!A:K,VLOOKUP(S1710,'3-Productie normen'!L:N,3,FALSE),FALSE)))</f>
        <v>0</v>
      </c>
      <c r="V1710" s="162">
        <f>VLOOKUP(G1710,'3-Productie normen'!A:K,10,FALSE)</f>
        <v>6152.9500017547598</v>
      </c>
      <c r="W1710" s="163">
        <f>VLOOKUP(G1710,'3-Productie normen'!A:K,11,FALSE)</f>
        <v>0</v>
      </c>
      <c r="X1710" s="163"/>
      <c r="Z1710" s="129">
        <f t="shared" si="140"/>
        <v>1085.5999999999999</v>
      </c>
    </row>
    <row r="1711" spans="1:26" ht="14.1" customHeight="1">
      <c r="A1711" s="144">
        <v>1749</v>
      </c>
      <c r="B1711" s="525" t="s">
        <v>237</v>
      </c>
      <c r="C1711" s="159" t="s">
        <v>568</v>
      </c>
      <c r="D1711" s="132">
        <v>1</v>
      </c>
      <c r="E1711" s="711" t="s">
        <v>596</v>
      </c>
      <c r="F1711" s="494" t="s">
        <v>470</v>
      </c>
      <c r="G1711" s="122" t="s">
        <v>221</v>
      </c>
      <c r="H1711" s="524" t="s">
        <v>932</v>
      </c>
      <c r="I1711" s="582" t="str">
        <f>VLOOKUP(H1711,'9a-Typen vloeren'!$A$10:$B$40,2,FALSE)</f>
        <v>Schrobben</v>
      </c>
      <c r="J1711" s="586">
        <v>55.03</v>
      </c>
      <c r="K1711" s="433">
        <f t="shared" si="141"/>
        <v>0</v>
      </c>
      <c r="L1711" s="433">
        <f t="shared" si="142"/>
        <v>55.03</v>
      </c>
      <c r="M1711" s="433">
        <f t="shared" si="143"/>
        <v>0</v>
      </c>
      <c r="N1711" s="672"/>
      <c r="O1711" s="729">
        <f>IF(N1711="",0,N1711*K1711/'9b-Vloeronderhoud'!$F$4)</f>
        <v>0</v>
      </c>
      <c r="P1711" s="672"/>
      <c r="Q1711" s="729" t="e">
        <f>IF(O1711="",0,P1711*L1711/'9b-Vloeronderhoud'!$F$6)</f>
        <v>#DIV/0!</v>
      </c>
      <c r="R1711" s="449">
        <v>1</v>
      </c>
      <c r="S1711" s="672">
        <v>80</v>
      </c>
      <c r="T1711" s="161" t="e">
        <f t="shared" si="139"/>
        <v>#DIV/0!</v>
      </c>
      <c r="U1711" s="162">
        <f>IF(S1711="nio",0,IF(S1711&gt;0,VLOOKUP(G1711,'3-Productie normen'!A:K,VLOOKUP(S1711,'3-Productie normen'!L:N,3,FALSE),FALSE)))</f>
        <v>0</v>
      </c>
      <c r="V1711" s="162">
        <f>VLOOKUP(G1711,'3-Productie normen'!A:K,10,FALSE)</f>
        <v>16013.110036668773</v>
      </c>
      <c r="W1711" s="163">
        <f>VLOOKUP(G1711,'3-Productie normen'!A:K,11,FALSE)</f>
        <v>0</v>
      </c>
      <c r="X1711" s="163"/>
      <c r="Z1711" s="129">
        <f t="shared" si="140"/>
        <v>4402.3999999999996</v>
      </c>
    </row>
    <row r="1712" spans="1:26" ht="14.1" customHeight="1">
      <c r="A1712" s="144">
        <v>1750</v>
      </c>
      <c r="B1712" s="525" t="s">
        <v>237</v>
      </c>
      <c r="C1712" s="159" t="s">
        <v>568</v>
      </c>
      <c r="D1712" s="132">
        <v>1</v>
      </c>
      <c r="E1712" s="711" t="s">
        <v>597</v>
      </c>
      <c r="F1712" s="494" t="s">
        <v>267</v>
      </c>
      <c r="G1712" s="460" t="s">
        <v>18</v>
      </c>
      <c r="H1712" s="303" t="s">
        <v>955</v>
      </c>
      <c r="I1712" s="582" t="str">
        <f>VLOOKUP(H1712,'9a-Typen vloeren'!$A$10:$B$40,2,FALSE)</f>
        <v>zie kwaliteitsontwerp</v>
      </c>
      <c r="J1712" s="586">
        <v>6.2</v>
      </c>
      <c r="K1712" s="433">
        <f t="shared" si="141"/>
        <v>0</v>
      </c>
      <c r="L1712" s="433">
        <f t="shared" si="142"/>
        <v>0</v>
      </c>
      <c r="M1712" s="433">
        <f t="shared" si="143"/>
        <v>0</v>
      </c>
      <c r="N1712" s="672"/>
      <c r="O1712" s="729">
        <f>IF(N1712="",0,N1712*K1712/'9b-Vloeronderhoud'!$F$4)</f>
        <v>0</v>
      </c>
      <c r="P1712" s="672"/>
      <c r="Q1712" s="729" t="e">
        <f>IF(O1712="",0,P1712*L1712/'9b-Vloeronderhoud'!$F$6)</f>
        <v>#DIV/0!</v>
      </c>
      <c r="R1712" s="449">
        <v>1</v>
      </c>
      <c r="S1712" s="672">
        <v>190</v>
      </c>
      <c r="T1712" s="161" t="e">
        <f t="shared" si="139"/>
        <v>#DIV/0!</v>
      </c>
      <c r="U1712" s="162">
        <f>IF(S1712="nio",0,IF(S1712&gt;0,VLOOKUP(G1712,'3-Productie normen'!A:K,VLOOKUP(S1712,'3-Productie normen'!L:N,3,FALSE),FALSE)))</f>
        <v>0</v>
      </c>
      <c r="V1712" s="162">
        <f>VLOOKUP(G1712,'3-Productie normen'!A:K,10,FALSE)</f>
        <v>1859.5880019121171</v>
      </c>
      <c r="W1712" s="163">
        <f>VLOOKUP(G1712,'3-Productie normen'!A:K,11,FALSE)</f>
        <v>0</v>
      </c>
      <c r="X1712" s="163"/>
      <c r="Z1712" s="129">
        <f t="shared" si="140"/>
        <v>1178</v>
      </c>
    </row>
    <row r="1713" spans="1:26" ht="14.1" customHeight="1">
      <c r="A1713" s="144">
        <v>1751</v>
      </c>
      <c r="B1713" s="525" t="s">
        <v>237</v>
      </c>
      <c r="C1713" s="159" t="s">
        <v>568</v>
      </c>
      <c r="D1713" s="132">
        <v>1</v>
      </c>
      <c r="E1713" s="711" t="s">
        <v>598</v>
      </c>
      <c r="F1713" s="494" t="s">
        <v>382</v>
      </c>
      <c r="G1713" s="460" t="s">
        <v>881</v>
      </c>
      <c r="H1713" s="524" t="s">
        <v>932</v>
      </c>
      <c r="I1713" s="582" t="str">
        <f>VLOOKUP(H1713,'9a-Typen vloeren'!$A$10:$B$40,2,FALSE)</f>
        <v>Schrobben</v>
      </c>
      <c r="J1713" s="586">
        <v>10.53</v>
      </c>
      <c r="K1713" s="433">
        <f t="shared" si="141"/>
        <v>0</v>
      </c>
      <c r="L1713" s="433">
        <f t="shared" si="142"/>
        <v>0</v>
      </c>
      <c r="M1713" s="433">
        <f t="shared" si="143"/>
        <v>0</v>
      </c>
      <c r="N1713" s="672"/>
      <c r="O1713" s="729">
        <f>IF(N1713="",0,N1713*K1713/'9b-Vloeronderhoud'!$F$4)</f>
        <v>0</v>
      </c>
      <c r="P1713" s="672"/>
      <c r="Q1713" s="729" t="e">
        <f>IF(O1713="",0,P1713*L1713/'9b-Vloeronderhoud'!$F$6)</f>
        <v>#DIV/0!</v>
      </c>
      <c r="R1713" s="449">
        <v>1</v>
      </c>
      <c r="S1713" s="672" t="s">
        <v>179</v>
      </c>
      <c r="T1713" s="161">
        <f t="shared" si="139"/>
        <v>0</v>
      </c>
      <c r="U1713" s="162">
        <f>IF(S1713="nio",0,IF(S1713&gt;0,VLOOKUP(G1713,'3-Productie normen'!A:K,VLOOKUP(S1713,'3-Productie normen'!L:N,3,FALSE),FALSE)))</f>
        <v>0</v>
      </c>
      <c r="V1713" s="162">
        <f>VLOOKUP(G1713,'3-Productie normen'!A:K,10,FALSE)</f>
        <v>5262.809993648526</v>
      </c>
      <c r="W1713" s="163">
        <f>VLOOKUP(G1713,'3-Productie normen'!A:K,11,FALSE)</f>
        <v>0</v>
      </c>
      <c r="X1713" s="163"/>
      <c r="Z1713" s="129">
        <f t="shared" si="140"/>
        <v>0</v>
      </c>
    </row>
    <row r="1714" spans="1:26" ht="14.1" customHeight="1">
      <c r="A1714" s="144">
        <v>1752</v>
      </c>
      <c r="B1714" s="525" t="s">
        <v>237</v>
      </c>
      <c r="C1714" s="159" t="s">
        <v>568</v>
      </c>
      <c r="D1714" s="132">
        <v>1</v>
      </c>
      <c r="E1714" s="711" t="s">
        <v>599</v>
      </c>
      <c r="F1714" s="494" t="s">
        <v>470</v>
      </c>
      <c r="G1714" s="122" t="s">
        <v>221</v>
      </c>
      <c r="H1714" s="524" t="s">
        <v>932</v>
      </c>
      <c r="I1714" s="582" t="str">
        <f>VLOOKUP(H1714,'9a-Typen vloeren'!$A$10:$B$40,2,FALSE)</f>
        <v>Schrobben</v>
      </c>
      <c r="J1714" s="586">
        <v>55.03</v>
      </c>
      <c r="K1714" s="433">
        <f t="shared" si="141"/>
        <v>0</v>
      </c>
      <c r="L1714" s="433">
        <f t="shared" si="142"/>
        <v>55.03</v>
      </c>
      <c r="M1714" s="433">
        <f t="shared" si="143"/>
        <v>0</v>
      </c>
      <c r="N1714" s="672"/>
      <c r="O1714" s="729">
        <f>IF(N1714="",0,N1714*K1714/'9b-Vloeronderhoud'!$F$4)</f>
        <v>0</v>
      </c>
      <c r="P1714" s="672"/>
      <c r="Q1714" s="729" t="e">
        <f>IF(O1714="",0,P1714*L1714/'9b-Vloeronderhoud'!$F$6)</f>
        <v>#DIV/0!</v>
      </c>
      <c r="R1714" s="449">
        <v>1</v>
      </c>
      <c r="S1714" s="672">
        <v>80</v>
      </c>
      <c r="T1714" s="161" t="e">
        <f t="shared" si="139"/>
        <v>#DIV/0!</v>
      </c>
      <c r="U1714" s="162">
        <f>IF(S1714="nio",0,IF(S1714&gt;0,VLOOKUP(G1714,'3-Productie normen'!A:K,VLOOKUP(S1714,'3-Productie normen'!L:N,3,FALSE),FALSE)))</f>
        <v>0</v>
      </c>
      <c r="V1714" s="162">
        <f>VLOOKUP(G1714,'3-Productie normen'!A:K,10,FALSE)</f>
        <v>16013.110036668773</v>
      </c>
      <c r="W1714" s="163">
        <f>VLOOKUP(G1714,'3-Productie normen'!A:K,11,FALSE)</f>
        <v>0</v>
      </c>
      <c r="X1714" s="163"/>
      <c r="Z1714" s="129">
        <f t="shared" si="140"/>
        <v>4402.3999999999996</v>
      </c>
    </row>
    <row r="1715" spans="1:26" ht="14.1" customHeight="1">
      <c r="A1715" s="144">
        <v>1753</v>
      </c>
      <c r="B1715" s="525" t="s">
        <v>237</v>
      </c>
      <c r="C1715" s="159" t="s">
        <v>568</v>
      </c>
      <c r="D1715" s="132">
        <v>1</v>
      </c>
      <c r="E1715" s="711" t="s">
        <v>600</v>
      </c>
      <c r="F1715" s="494" t="s">
        <v>404</v>
      </c>
      <c r="G1715" s="460" t="s">
        <v>286</v>
      </c>
      <c r="H1715" s="524" t="s">
        <v>932</v>
      </c>
      <c r="I1715" s="582" t="str">
        <f>VLOOKUP(H1715,'9a-Typen vloeren'!$A$10:$B$40,2,FALSE)</f>
        <v>Schrobben</v>
      </c>
      <c r="J1715" s="586">
        <v>4.0199999999999996</v>
      </c>
      <c r="K1715" s="433">
        <f t="shared" si="141"/>
        <v>0</v>
      </c>
      <c r="L1715" s="433">
        <f t="shared" si="142"/>
        <v>4.0199999999999996</v>
      </c>
      <c r="M1715" s="433">
        <f t="shared" si="143"/>
        <v>0</v>
      </c>
      <c r="N1715" s="672"/>
      <c r="O1715" s="729">
        <f>IF(N1715="",0,N1715*K1715/'9b-Vloeronderhoud'!$F$4)</f>
        <v>0</v>
      </c>
      <c r="P1715" s="672">
        <v>3</v>
      </c>
      <c r="Q1715" s="729" t="e">
        <f>IF(O1715="",0,P1715*L1715/'9b-Vloeronderhoud'!$F$6)</f>
        <v>#DIV/0!</v>
      </c>
      <c r="R1715" s="449">
        <v>1</v>
      </c>
      <c r="S1715" s="672">
        <v>120</v>
      </c>
      <c r="T1715" s="161" t="e">
        <f t="shared" si="139"/>
        <v>#DIV/0!</v>
      </c>
      <c r="U1715" s="162">
        <f>IF(S1715="nio",0,IF(S1715&gt;0,VLOOKUP(G1715,'3-Productie normen'!A:K,VLOOKUP(S1715,'3-Productie normen'!L:N,3,FALSE),FALSE)))</f>
        <v>0</v>
      </c>
      <c r="V1715" s="162">
        <f>VLOOKUP(G1715,'3-Productie normen'!A:K,10,FALSE)</f>
        <v>6152.9500017547598</v>
      </c>
      <c r="W1715" s="163">
        <f>VLOOKUP(G1715,'3-Productie normen'!A:K,11,FALSE)</f>
        <v>0</v>
      </c>
      <c r="X1715" s="163"/>
      <c r="Z1715" s="129">
        <f t="shared" si="140"/>
        <v>482.4</v>
      </c>
    </row>
    <row r="1716" spans="1:26" ht="14.1" customHeight="1">
      <c r="A1716" s="144">
        <v>1754</v>
      </c>
      <c r="B1716" s="525" t="s">
        <v>237</v>
      </c>
      <c r="C1716" s="159" t="s">
        <v>568</v>
      </c>
      <c r="D1716" s="132">
        <v>1</v>
      </c>
      <c r="E1716" s="711" t="s">
        <v>591</v>
      </c>
      <c r="F1716" s="494" t="s">
        <v>391</v>
      </c>
      <c r="G1716" s="460" t="s">
        <v>881</v>
      </c>
      <c r="H1716" s="524" t="s">
        <v>932</v>
      </c>
      <c r="I1716" s="582" t="str">
        <f>VLOOKUP(H1716,'9a-Typen vloeren'!$A$10:$B$40,2,FALSE)</f>
        <v>Schrobben</v>
      </c>
      <c r="J1716" s="586">
        <v>1.37</v>
      </c>
      <c r="K1716" s="433">
        <f t="shared" si="141"/>
        <v>0</v>
      </c>
      <c r="L1716" s="433">
        <f t="shared" si="142"/>
        <v>0</v>
      </c>
      <c r="M1716" s="433">
        <f t="shared" si="143"/>
        <v>0</v>
      </c>
      <c r="N1716" s="672"/>
      <c r="O1716" s="729">
        <f>IF(N1716="",0,N1716*K1716/'9b-Vloeronderhoud'!$F$4)</f>
        <v>0</v>
      </c>
      <c r="P1716" s="672"/>
      <c r="Q1716" s="729" t="e">
        <f>IF(O1716="",0,P1716*L1716/'9b-Vloeronderhoud'!$F$6)</f>
        <v>#DIV/0!</v>
      </c>
      <c r="R1716" s="449">
        <v>1</v>
      </c>
      <c r="S1716" s="672" t="s">
        <v>179</v>
      </c>
      <c r="T1716" s="161">
        <f t="shared" si="139"/>
        <v>0</v>
      </c>
      <c r="U1716" s="162">
        <f>IF(S1716="nio",0,IF(S1716&gt;0,VLOOKUP(G1716,'3-Productie normen'!A:K,VLOOKUP(S1716,'3-Productie normen'!L:N,3,FALSE),FALSE)))</f>
        <v>0</v>
      </c>
      <c r="V1716" s="162">
        <f>VLOOKUP(G1716,'3-Productie normen'!A:K,10,FALSE)</f>
        <v>5262.809993648526</v>
      </c>
      <c r="W1716" s="163">
        <f>VLOOKUP(G1716,'3-Productie normen'!A:K,11,FALSE)</f>
        <v>0</v>
      </c>
      <c r="X1716" s="163"/>
      <c r="Z1716" s="129">
        <f t="shared" si="140"/>
        <v>0</v>
      </c>
    </row>
    <row r="1717" spans="1:26" ht="14.1" customHeight="1">
      <c r="A1717" s="144">
        <v>1755</v>
      </c>
      <c r="B1717" s="525" t="s">
        <v>237</v>
      </c>
      <c r="C1717" s="159" t="s">
        <v>568</v>
      </c>
      <c r="D1717" s="132">
        <v>1</v>
      </c>
      <c r="E1717" s="711" t="s">
        <v>590</v>
      </c>
      <c r="F1717" s="494" t="s">
        <v>267</v>
      </c>
      <c r="G1717" s="460" t="s">
        <v>18</v>
      </c>
      <c r="H1717" s="303" t="s">
        <v>955</v>
      </c>
      <c r="I1717" s="582" t="str">
        <f>VLOOKUP(H1717,'9a-Typen vloeren'!$A$10:$B$40,2,FALSE)</f>
        <v>zie kwaliteitsontwerp</v>
      </c>
      <c r="J1717" s="586">
        <v>5.49</v>
      </c>
      <c r="K1717" s="433">
        <f t="shared" si="141"/>
        <v>0</v>
      </c>
      <c r="L1717" s="433">
        <f t="shared" si="142"/>
        <v>0</v>
      </c>
      <c r="M1717" s="433">
        <f t="shared" si="143"/>
        <v>0</v>
      </c>
      <c r="N1717" s="672"/>
      <c r="O1717" s="729">
        <f>IF(N1717="",0,N1717*K1717/'9b-Vloeronderhoud'!$F$4)</f>
        <v>0</v>
      </c>
      <c r="P1717" s="672"/>
      <c r="Q1717" s="729" t="e">
        <f>IF(O1717="",0,P1717*L1717/'9b-Vloeronderhoud'!$F$6)</f>
        <v>#DIV/0!</v>
      </c>
      <c r="R1717" s="449">
        <v>1</v>
      </c>
      <c r="S1717" s="672">
        <v>40</v>
      </c>
      <c r="T1717" s="161" t="e">
        <f t="shared" si="139"/>
        <v>#DIV/0!</v>
      </c>
      <c r="U1717" s="162">
        <f>IF(S1717="nio",0,IF(S1717&gt;0,VLOOKUP(G1717,'3-Productie normen'!A:K,VLOOKUP(S1717,'3-Productie normen'!L:N,3,FALSE),FALSE)))</f>
        <v>0</v>
      </c>
      <c r="V1717" s="162">
        <f>VLOOKUP(G1717,'3-Productie normen'!A:K,10,FALSE)</f>
        <v>1859.5880019121171</v>
      </c>
      <c r="W1717" s="163">
        <f>VLOOKUP(G1717,'3-Productie normen'!A:K,11,FALSE)</f>
        <v>0</v>
      </c>
      <c r="X1717" s="163"/>
      <c r="Z1717" s="129">
        <f t="shared" si="140"/>
        <v>219.60000000000002</v>
      </c>
    </row>
    <row r="1718" spans="1:26" ht="14.1" customHeight="1">
      <c r="A1718" s="144">
        <v>1756</v>
      </c>
      <c r="B1718" s="525" t="s">
        <v>237</v>
      </c>
      <c r="C1718" s="159" t="s">
        <v>568</v>
      </c>
      <c r="D1718" s="132">
        <v>1</v>
      </c>
      <c r="E1718" s="711" t="s">
        <v>602</v>
      </c>
      <c r="F1718" s="494" t="s">
        <v>574</v>
      </c>
      <c r="G1718" s="303" t="s">
        <v>18</v>
      </c>
      <c r="H1718" s="303" t="s">
        <v>955</v>
      </c>
      <c r="I1718" s="582" t="str">
        <f>VLOOKUP(H1718,'9a-Typen vloeren'!$A$10:$B$40,2,FALSE)</f>
        <v>zie kwaliteitsontwerp</v>
      </c>
      <c r="J1718" s="586">
        <v>4.9800000000000004</v>
      </c>
      <c r="K1718" s="433">
        <f t="shared" si="141"/>
        <v>0</v>
      </c>
      <c r="L1718" s="433">
        <f t="shared" si="142"/>
        <v>0</v>
      </c>
      <c r="M1718" s="433">
        <f t="shared" si="143"/>
        <v>0</v>
      </c>
      <c r="N1718" s="672"/>
      <c r="O1718" s="729">
        <f>IF(N1718="",0,N1718*K1718/'9b-Vloeronderhoud'!$F$4)</f>
        <v>0</v>
      </c>
      <c r="P1718" s="672"/>
      <c r="Q1718" s="729" t="e">
        <f>IF(O1718="",0,P1718*L1718/'9b-Vloeronderhoud'!$F$6)</f>
        <v>#DIV/0!</v>
      </c>
      <c r="R1718" s="449">
        <v>1</v>
      </c>
      <c r="S1718" s="672">
        <v>190</v>
      </c>
      <c r="T1718" s="161" t="e">
        <f t="shared" si="139"/>
        <v>#DIV/0!</v>
      </c>
      <c r="U1718" s="162">
        <f>IF(S1718="nio",0,IF(S1718&gt;0,VLOOKUP(G1718,'3-Productie normen'!A:K,VLOOKUP(S1718,'3-Productie normen'!L:N,3,FALSE),FALSE)))</f>
        <v>0</v>
      </c>
      <c r="V1718" s="162">
        <f>VLOOKUP(G1718,'3-Productie normen'!A:K,10,FALSE)</f>
        <v>1859.5880019121171</v>
      </c>
      <c r="W1718" s="163">
        <f>VLOOKUP(G1718,'3-Productie normen'!A:K,11,FALSE)</f>
        <v>0</v>
      </c>
      <c r="X1718" s="163"/>
      <c r="Z1718" s="129">
        <f t="shared" si="140"/>
        <v>946.2</v>
      </c>
    </row>
    <row r="1719" spans="1:26" ht="14.1" customHeight="1">
      <c r="A1719" s="144">
        <v>1757</v>
      </c>
      <c r="B1719" s="525" t="s">
        <v>237</v>
      </c>
      <c r="C1719" s="159" t="s">
        <v>568</v>
      </c>
      <c r="D1719" s="132">
        <v>1</v>
      </c>
      <c r="E1719" s="711" t="s">
        <v>601</v>
      </c>
      <c r="F1719" s="494" t="s">
        <v>470</v>
      </c>
      <c r="G1719" s="122" t="s">
        <v>221</v>
      </c>
      <c r="H1719" s="524" t="s">
        <v>932</v>
      </c>
      <c r="I1719" s="582" t="str">
        <f>VLOOKUP(H1719,'9a-Typen vloeren'!$A$10:$B$40,2,FALSE)</f>
        <v>Schrobben</v>
      </c>
      <c r="J1719" s="586">
        <v>55.03</v>
      </c>
      <c r="K1719" s="433">
        <f t="shared" ref="K1719:K1782" si="144">IF(G1719="niet in onderhoud",0,IF(I1719="sprayen/ conserveren",J1719,0))</f>
        <v>0</v>
      </c>
      <c r="L1719" s="433">
        <f t="shared" ref="L1719:L1782" si="145">IF(G1719="niet in onderhoud",0,IF(I1719="schrobben",J1719,0))</f>
        <v>55.03</v>
      </c>
      <c r="M1719" s="433">
        <f t="shared" ref="M1719:M1782" si="146">IF(G1719="niet in onderhoud",0,IF(I1719="Sproei/extraheren",J1719,0))</f>
        <v>0</v>
      </c>
      <c r="N1719" s="672"/>
      <c r="O1719" s="729">
        <f>IF(N1719="",0,N1719*K1719/'9b-Vloeronderhoud'!$F$4)</f>
        <v>0</v>
      </c>
      <c r="P1719" s="672"/>
      <c r="Q1719" s="729" t="e">
        <f>IF(O1719="",0,P1719*L1719/'9b-Vloeronderhoud'!$F$6)</f>
        <v>#DIV/0!</v>
      </c>
      <c r="R1719" s="449">
        <v>1</v>
      </c>
      <c r="S1719" s="672">
        <v>80</v>
      </c>
      <c r="T1719" s="161" t="e">
        <f t="shared" si="139"/>
        <v>#DIV/0!</v>
      </c>
      <c r="U1719" s="162">
        <f>IF(S1719="nio",0,IF(S1719&gt;0,VLOOKUP(G1719,'3-Productie normen'!A:K,VLOOKUP(S1719,'3-Productie normen'!L:N,3,FALSE),FALSE)))</f>
        <v>0</v>
      </c>
      <c r="V1719" s="162">
        <f>VLOOKUP(G1719,'3-Productie normen'!A:K,10,FALSE)</f>
        <v>16013.110036668773</v>
      </c>
      <c r="W1719" s="163">
        <f>VLOOKUP(G1719,'3-Productie normen'!A:K,11,FALSE)</f>
        <v>0</v>
      </c>
      <c r="X1719" s="163"/>
      <c r="Z1719" s="129">
        <f t="shared" si="140"/>
        <v>4402.3999999999996</v>
      </c>
    </row>
    <row r="1720" spans="1:26" ht="14.1" customHeight="1">
      <c r="A1720" s="144">
        <v>1758</v>
      </c>
      <c r="B1720" s="605" t="s">
        <v>980</v>
      </c>
      <c r="C1720" s="605"/>
      <c r="D1720" s="606" t="s">
        <v>98</v>
      </c>
      <c r="E1720" s="721" t="s">
        <v>294</v>
      </c>
      <c r="F1720" s="605" t="s">
        <v>981</v>
      </c>
      <c r="G1720" s="122" t="s">
        <v>286</v>
      </c>
      <c r="H1720" s="505" t="s">
        <v>375</v>
      </c>
      <c r="I1720" s="582" t="str">
        <f>VLOOKUP(H1720,'9a-Typen vloeren'!$A$10:$B$40,2,FALSE)</f>
        <v>n.v.t.</v>
      </c>
      <c r="J1720" s="607">
        <v>91.37</v>
      </c>
      <c r="K1720" s="433">
        <f t="shared" si="144"/>
        <v>0</v>
      </c>
      <c r="L1720" s="433">
        <f t="shared" si="145"/>
        <v>0</v>
      </c>
      <c r="M1720" s="433">
        <f t="shared" si="146"/>
        <v>0</v>
      </c>
      <c r="N1720" s="672"/>
      <c r="O1720" s="729">
        <f>IF(N1720="",0,N1720*K1720/'9b-Vloeronderhoud'!$F$4)</f>
        <v>0</v>
      </c>
      <c r="P1720" s="672"/>
      <c r="Q1720" s="729" t="e">
        <f>IF(O1720="",0,P1720*L1720/'9b-Vloeronderhoud'!$F$6)</f>
        <v>#DIV/0!</v>
      </c>
      <c r="R1720" s="449">
        <v>1</v>
      </c>
      <c r="S1720" s="672">
        <v>120</v>
      </c>
      <c r="T1720" s="161" t="e">
        <f t="shared" si="139"/>
        <v>#DIV/0!</v>
      </c>
      <c r="U1720" s="162">
        <f>IF(S1720="nio",0,IF(S1720&gt;0,VLOOKUP(G1720,'3-Productie normen'!A:K,VLOOKUP(S1720,'3-Productie normen'!L:N,3,FALSE),FALSE)))</f>
        <v>0</v>
      </c>
      <c r="V1720" s="162">
        <f>VLOOKUP(G1720,'3-Productie normen'!A:K,10,FALSE)</f>
        <v>6152.9500017547598</v>
      </c>
      <c r="W1720" s="163">
        <f>VLOOKUP(G1720,'3-Productie normen'!A:K,11,FALSE)</f>
        <v>0</v>
      </c>
      <c r="X1720" s="163"/>
      <c r="Z1720" s="129">
        <f t="shared" si="140"/>
        <v>10964.400000000001</v>
      </c>
    </row>
    <row r="1721" spans="1:26" ht="14.1" customHeight="1">
      <c r="A1721" s="144">
        <v>1759</v>
      </c>
      <c r="B1721" s="605" t="s">
        <v>980</v>
      </c>
      <c r="C1721" s="605"/>
      <c r="D1721" s="606" t="s">
        <v>98</v>
      </c>
      <c r="E1721" s="721" t="s">
        <v>982</v>
      </c>
      <c r="F1721" s="605" t="s">
        <v>983</v>
      </c>
      <c r="G1721" s="122" t="s">
        <v>221</v>
      </c>
      <c r="H1721" s="505" t="s">
        <v>375</v>
      </c>
      <c r="I1721" s="582" t="str">
        <f>VLOOKUP(H1721,'9a-Typen vloeren'!$A$10:$B$40,2,FALSE)</f>
        <v>n.v.t.</v>
      </c>
      <c r="J1721" s="607">
        <v>58.36</v>
      </c>
      <c r="K1721" s="433">
        <f t="shared" si="144"/>
        <v>0</v>
      </c>
      <c r="L1721" s="433">
        <f t="shared" si="145"/>
        <v>0</v>
      </c>
      <c r="M1721" s="433">
        <f t="shared" si="146"/>
        <v>0</v>
      </c>
      <c r="N1721" s="672"/>
      <c r="O1721" s="729">
        <f>IF(N1721="",0,N1721*K1721/'9b-Vloeronderhoud'!$F$4)</f>
        <v>0</v>
      </c>
      <c r="P1721" s="672"/>
      <c r="Q1721" s="729" t="e">
        <f>IF(O1721="",0,P1721*L1721/'9b-Vloeronderhoud'!$F$6)</f>
        <v>#DIV/0!</v>
      </c>
      <c r="R1721" s="449">
        <v>1</v>
      </c>
      <c r="S1721" s="672">
        <v>80</v>
      </c>
      <c r="T1721" s="161" t="e">
        <f t="shared" si="139"/>
        <v>#DIV/0!</v>
      </c>
      <c r="U1721" s="162">
        <f>IF(S1721="nio",0,IF(S1721&gt;0,VLOOKUP(G1721,'3-Productie normen'!A:K,VLOOKUP(S1721,'3-Productie normen'!L:N,3,FALSE),FALSE)))</f>
        <v>0</v>
      </c>
      <c r="V1721" s="162">
        <f>VLOOKUP(G1721,'3-Productie normen'!A:K,10,FALSE)</f>
        <v>16013.110036668773</v>
      </c>
      <c r="W1721" s="163">
        <f>VLOOKUP(G1721,'3-Productie normen'!A:K,11,FALSE)</f>
        <v>0</v>
      </c>
      <c r="X1721" s="163"/>
      <c r="Z1721" s="129">
        <f t="shared" si="140"/>
        <v>4668.8</v>
      </c>
    </row>
    <row r="1722" spans="1:26" ht="14.1" customHeight="1">
      <c r="A1722" s="144">
        <v>1760</v>
      </c>
      <c r="B1722" s="605" t="s">
        <v>980</v>
      </c>
      <c r="C1722" s="605"/>
      <c r="D1722" s="606" t="s">
        <v>98</v>
      </c>
      <c r="E1722" s="721" t="s">
        <v>296</v>
      </c>
      <c r="F1722" s="605" t="s">
        <v>983</v>
      </c>
      <c r="G1722" s="122" t="s">
        <v>221</v>
      </c>
      <c r="H1722" s="505" t="s">
        <v>375</v>
      </c>
      <c r="I1722" s="582" t="str">
        <f>VLOOKUP(H1722,'9a-Typen vloeren'!$A$10:$B$40,2,FALSE)</f>
        <v>n.v.t.</v>
      </c>
      <c r="J1722" s="607">
        <v>59.04</v>
      </c>
      <c r="K1722" s="433">
        <f t="shared" si="144"/>
        <v>0</v>
      </c>
      <c r="L1722" s="433">
        <f t="shared" si="145"/>
        <v>0</v>
      </c>
      <c r="M1722" s="433">
        <f t="shared" si="146"/>
        <v>0</v>
      </c>
      <c r="N1722" s="672"/>
      <c r="O1722" s="729">
        <f>IF(N1722="",0,N1722*K1722/'9b-Vloeronderhoud'!$F$4)</f>
        <v>0</v>
      </c>
      <c r="P1722" s="672"/>
      <c r="Q1722" s="729" t="e">
        <f>IF(O1722="",0,P1722*L1722/'9b-Vloeronderhoud'!$F$6)</f>
        <v>#DIV/0!</v>
      </c>
      <c r="R1722" s="449">
        <v>1</v>
      </c>
      <c r="S1722" s="672">
        <v>80</v>
      </c>
      <c r="T1722" s="161" t="e">
        <f t="shared" si="139"/>
        <v>#DIV/0!</v>
      </c>
      <c r="U1722" s="162">
        <f>IF(S1722="nio",0,IF(S1722&gt;0,VLOOKUP(G1722,'3-Productie normen'!A:K,VLOOKUP(S1722,'3-Productie normen'!L:N,3,FALSE),FALSE)))</f>
        <v>0</v>
      </c>
      <c r="V1722" s="162">
        <f>VLOOKUP(G1722,'3-Productie normen'!A:K,10,FALSE)</f>
        <v>16013.110036668773</v>
      </c>
      <c r="W1722" s="163">
        <f>VLOOKUP(G1722,'3-Productie normen'!A:K,11,FALSE)</f>
        <v>0</v>
      </c>
      <c r="X1722" s="163"/>
      <c r="Z1722" s="129">
        <f t="shared" si="140"/>
        <v>4723.2</v>
      </c>
    </row>
    <row r="1723" spans="1:26" ht="14.1" customHeight="1">
      <c r="A1723" s="144">
        <v>1761</v>
      </c>
      <c r="B1723" s="605" t="s">
        <v>980</v>
      </c>
      <c r="C1723" s="605"/>
      <c r="D1723" s="606" t="s">
        <v>98</v>
      </c>
      <c r="E1723" s="721" t="s">
        <v>298</v>
      </c>
      <c r="F1723" s="605" t="s">
        <v>983</v>
      </c>
      <c r="G1723" s="122" t="s">
        <v>221</v>
      </c>
      <c r="H1723" s="505" t="s">
        <v>375</v>
      </c>
      <c r="I1723" s="582" t="str">
        <f>VLOOKUP(H1723,'9a-Typen vloeren'!$A$10:$B$40,2,FALSE)</f>
        <v>n.v.t.</v>
      </c>
      <c r="J1723" s="607">
        <v>58.77</v>
      </c>
      <c r="K1723" s="433">
        <f t="shared" si="144"/>
        <v>0</v>
      </c>
      <c r="L1723" s="433">
        <f t="shared" si="145"/>
        <v>0</v>
      </c>
      <c r="M1723" s="433">
        <f t="shared" si="146"/>
        <v>0</v>
      </c>
      <c r="N1723" s="672"/>
      <c r="O1723" s="729">
        <f>IF(N1723="",0,N1723*K1723/'9b-Vloeronderhoud'!$F$4)</f>
        <v>0</v>
      </c>
      <c r="P1723" s="672"/>
      <c r="Q1723" s="729" t="e">
        <f>IF(O1723="",0,P1723*L1723/'9b-Vloeronderhoud'!$F$6)</f>
        <v>#DIV/0!</v>
      </c>
      <c r="R1723" s="449">
        <v>1</v>
      </c>
      <c r="S1723" s="672">
        <v>80</v>
      </c>
      <c r="T1723" s="161" t="e">
        <f t="shared" si="139"/>
        <v>#DIV/0!</v>
      </c>
      <c r="U1723" s="162">
        <f>IF(S1723="nio",0,IF(S1723&gt;0,VLOOKUP(G1723,'3-Productie normen'!A:K,VLOOKUP(S1723,'3-Productie normen'!L:N,3,FALSE),FALSE)))</f>
        <v>0</v>
      </c>
      <c r="V1723" s="162">
        <f>VLOOKUP(G1723,'3-Productie normen'!A:K,10,FALSE)</f>
        <v>16013.110036668773</v>
      </c>
      <c r="W1723" s="163">
        <f>VLOOKUP(G1723,'3-Productie normen'!A:K,11,FALSE)</f>
        <v>0</v>
      </c>
      <c r="X1723" s="163"/>
      <c r="Z1723" s="129">
        <f t="shared" si="140"/>
        <v>4701.6000000000004</v>
      </c>
    </row>
    <row r="1724" spans="1:26" ht="14.1" customHeight="1">
      <c r="A1724" s="144">
        <v>1762</v>
      </c>
      <c r="B1724" s="605" t="s">
        <v>980</v>
      </c>
      <c r="C1724" s="605"/>
      <c r="D1724" s="606" t="s">
        <v>98</v>
      </c>
      <c r="E1724" s="721" t="s">
        <v>301</v>
      </c>
      <c r="F1724" s="605" t="s">
        <v>984</v>
      </c>
      <c r="G1724" s="122" t="s">
        <v>18</v>
      </c>
      <c r="H1724" s="505" t="s">
        <v>375</v>
      </c>
      <c r="I1724" s="582" t="str">
        <f>VLOOKUP(H1724,'9a-Typen vloeren'!$A$10:$B$40,2,FALSE)</f>
        <v>n.v.t.</v>
      </c>
      <c r="J1724" s="607">
        <v>11.97</v>
      </c>
      <c r="K1724" s="433">
        <f t="shared" si="144"/>
        <v>0</v>
      </c>
      <c r="L1724" s="433">
        <f t="shared" si="145"/>
        <v>0</v>
      </c>
      <c r="M1724" s="433">
        <f t="shared" si="146"/>
        <v>0</v>
      </c>
      <c r="N1724" s="672"/>
      <c r="O1724" s="729">
        <f>IF(N1724="",0,N1724*K1724/'9b-Vloeronderhoud'!$F$4)</f>
        <v>0</v>
      </c>
      <c r="P1724" s="672"/>
      <c r="Q1724" s="729" t="e">
        <f>IF(O1724="",0,P1724*L1724/'9b-Vloeronderhoud'!$F$6)</f>
        <v>#DIV/0!</v>
      </c>
      <c r="R1724" s="449">
        <v>1</v>
      </c>
      <c r="S1724" s="675">
        <v>190</v>
      </c>
      <c r="T1724" s="161" t="e">
        <f t="shared" si="139"/>
        <v>#DIV/0!</v>
      </c>
      <c r="U1724" s="162">
        <f>IF(S1724="nio",0,IF(S1724&gt;0,VLOOKUP(G1724,'3-Productie normen'!A:K,VLOOKUP(S1724,'3-Productie normen'!L:N,3,FALSE),FALSE)))</f>
        <v>0</v>
      </c>
      <c r="V1724" s="162">
        <f>VLOOKUP(G1724,'3-Productie normen'!A:K,10,FALSE)</f>
        <v>1859.5880019121171</v>
      </c>
      <c r="W1724" s="163">
        <f>VLOOKUP(G1724,'3-Productie normen'!A:K,11,FALSE)</f>
        <v>0</v>
      </c>
      <c r="X1724" s="163"/>
      <c r="Z1724" s="129">
        <f t="shared" si="140"/>
        <v>2274.3000000000002</v>
      </c>
    </row>
    <row r="1725" spans="1:26" ht="14.1" customHeight="1">
      <c r="A1725" s="144">
        <v>1763</v>
      </c>
      <c r="B1725" s="605" t="s">
        <v>980</v>
      </c>
      <c r="C1725" s="605"/>
      <c r="D1725" s="606" t="s">
        <v>98</v>
      </c>
      <c r="E1725" s="721" t="s">
        <v>303</v>
      </c>
      <c r="F1725" s="605" t="s">
        <v>985</v>
      </c>
      <c r="G1725" s="460" t="s">
        <v>189</v>
      </c>
      <c r="H1725" s="505" t="s">
        <v>375</v>
      </c>
      <c r="I1725" s="582" t="str">
        <f>VLOOKUP(H1725,'9a-Typen vloeren'!$A$10:$B$40,2,FALSE)</f>
        <v>n.v.t.</v>
      </c>
      <c r="J1725" s="607">
        <v>13.43</v>
      </c>
      <c r="K1725" s="433">
        <f t="shared" si="144"/>
        <v>0</v>
      </c>
      <c r="L1725" s="433">
        <f t="shared" si="145"/>
        <v>0</v>
      </c>
      <c r="M1725" s="433">
        <f t="shared" si="146"/>
        <v>0</v>
      </c>
      <c r="N1725" s="672"/>
      <c r="O1725" s="729">
        <f>IF(N1725="",0,N1725*K1725/'9b-Vloeronderhoud'!$F$4)</f>
        <v>0</v>
      </c>
      <c r="P1725" s="672"/>
      <c r="Q1725" s="729" t="e">
        <f>IF(O1725="",0,P1725*L1725/'9b-Vloeronderhoud'!$F$6)</f>
        <v>#DIV/0!</v>
      </c>
      <c r="R1725" s="449">
        <v>1</v>
      </c>
      <c r="S1725" s="675">
        <v>40</v>
      </c>
      <c r="T1725" s="161" t="e">
        <f t="shared" si="139"/>
        <v>#DIV/0!</v>
      </c>
      <c r="U1725" s="162">
        <f>IF(S1725="nio",0,IF(S1725&gt;0,VLOOKUP(G1725,'3-Productie normen'!A:K,VLOOKUP(S1725,'3-Productie normen'!L:N,3,FALSE),FALSE)))</f>
        <v>0</v>
      </c>
      <c r="V1725" s="162">
        <f>VLOOKUP(G1725,'3-Productie normen'!A:K,10,FALSE)</f>
        <v>1494.1700078582762</v>
      </c>
      <c r="W1725" s="163">
        <f>VLOOKUP(G1725,'3-Productie normen'!A:K,11,FALSE)</f>
        <v>0</v>
      </c>
      <c r="X1725" s="163"/>
      <c r="Z1725" s="129">
        <f t="shared" si="140"/>
        <v>537.20000000000005</v>
      </c>
    </row>
    <row r="1726" spans="1:26" ht="14.1" customHeight="1">
      <c r="A1726" s="144">
        <v>1764</v>
      </c>
      <c r="B1726" s="605" t="s">
        <v>980</v>
      </c>
      <c r="C1726" s="605"/>
      <c r="D1726" s="606" t="s">
        <v>98</v>
      </c>
      <c r="E1726" s="721" t="s">
        <v>305</v>
      </c>
      <c r="F1726" s="605" t="s">
        <v>986</v>
      </c>
      <c r="G1726" s="460" t="s">
        <v>881</v>
      </c>
      <c r="H1726" s="505" t="s">
        <v>375</v>
      </c>
      <c r="I1726" s="582" t="str">
        <f>VLOOKUP(H1726,'9a-Typen vloeren'!$A$10:$B$40,2,FALSE)</f>
        <v>n.v.t.</v>
      </c>
      <c r="J1726" s="607">
        <v>1.47</v>
      </c>
      <c r="K1726" s="433">
        <f t="shared" si="144"/>
        <v>0</v>
      </c>
      <c r="L1726" s="433">
        <f t="shared" si="145"/>
        <v>0</v>
      </c>
      <c r="M1726" s="433">
        <f t="shared" si="146"/>
        <v>0</v>
      </c>
      <c r="N1726" s="672"/>
      <c r="O1726" s="729">
        <f>IF(N1726="",0,N1726*K1726/'9b-Vloeronderhoud'!$F$4)</f>
        <v>0</v>
      </c>
      <c r="P1726" s="672"/>
      <c r="Q1726" s="729" t="e">
        <f>IF(O1726="",0,P1726*L1726/'9b-Vloeronderhoud'!$F$6)</f>
        <v>#DIV/0!</v>
      </c>
      <c r="R1726" s="449">
        <v>1</v>
      </c>
      <c r="S1726" s="675" t="s">
        <v>179</v>
      </c>
      <c r="T1726" s="161">
        <f t="shared" si="139"/>
        <v>0</v>
      </c>
      <c r="U1726" s="162">
        <f>IF(S1726="nio",0,IF(S1726&gt;0,VLOOKUP(G1726,'3-Productie normen'!A:K,VLOOKUP(S1726,'3-Productie normen'!L:N,3,FALSE),FALSE)))</f>
        <v>0</v>
      </c>
      <c r="V1726" s="162">
        <f>VLOOKUP(G1726,'3-Productie normen'!A:K,10,FALSE)</f>
        <v>5262.809993648526</v>
      </c>
      <c r="W1726" s="163">
        <f>VLOOKUP(G1726,'3-Productie normen'!A:K,11,FALSE)</f>
        <v>0</v>
      </c>
      <c r="X1726" s="163"/>
      <c r="Z1726" s="129">
        <f t="shared" si="140"/>
        <v>0</v>
      </c>
    </row>
    <row r="1727" spans="1:26" ht="14.1" customHeight="1">
      <c r="A1727" s="144">
        <v>1765</v>
      </c>
      <c r="B1727" s="605" t="s">
        <v>980</v>
      </c>
      <c r="C1727" s="605"/>
      <c r="D1727" s="606" t="s">
        <v>98</v>
      </c>
      <c r="E1727" s="721" t="s">
        <v>306</v>
      </c>
      <c r="F1727" s="605" t="s">
        <v>987</v>
      </c>
      <c r="G1727" s="122" t="s">
        <v>881</v>
      </c>
      <c r="H1727" s="505" t="s">
        <v>375</v>
      </c>
      <c r="I1727" s="582" t="str">
        <f>VLOOKUP(H1727,'9a-Typen vloeren'!$A$10:$B$40,2,FALSE)</f>
        <v>n.v.t.</v>
      </c>
      <c r="J1727" s="607">
        <v>49.75</v>
      </c>
      <c r="K1727" s="433">
        <f t="shared" si="144"/>
        <v>0</v>
      </c>
      <c r="L1727" s="433">
        <f t="shared" si="145"/>
        <v>0</v>
      </c>
      <c r="M1727" s="433">
        <f t="shared" si="146"/>
        <v>0</v>
      </c>
      <c r="N1727" s="672"/>
      <c r="O1727" s="729">
        <f>IF(N1727="",0,N1727*K1727/'9b-Vloeronderhoud'!$F$4)</f>
        <v>0</v>
      </c>
      <c r="P1727" s="672"/>
      <c r="Q1727" s="729" t="e">
        <f>IF(O1727="",0,P1727*L1727/'9b-Vloeronderhoud'!$F$6)</f>
        <v>#DIV/0!</v>
      </c>
      <c r="R1727" s="449">
        <v>1</v>
      </c>
      <c r="S1727" s="675" t="s">
        <v>179</v>
      </c>
      <c r="T1727" s="161">
        <f t="shared" si="139"/>
        <v>0</v>
      </c>
      <c r="U1727" s="162">
        <f>IF(S1727="nio",0,IF(S1727&gt;0,VLOOKUP(G1727,'3-Productie normen'!A:K,VLOOKUP(S1727,'3-Productie normen'!L:N,3,FALSE),FALSE)))</f>
        <v>0</v>
      </c>
      <c r="V1727" s="162">
        <f>VLOOKUP(G1727,'3-Productie normen'!A:K,10,FALSE)</f>
        <v>5262.809993648526</v>
      </c>
      <c r="W1727" s="163">
        <f>VLOOKUP(G1727,'3-Productie normen'!A:K,11,FALSE)</f>
        <v>0</v>
      </c>
      <c r="X1727" s="163"/>
      <c r="Z1727" s="129">
        <f t="shared" si="140"/>
        <v>0</v>
      </c>
    </row>
    <row r="1728" spans="1:26" ht="14.1" customHeight="1">
      <c r="A1728" s="144">
        <v>1766</v>
      </c>
      <c r="B1728" s="605" t="s">
        <v>980</v>
      </c>
      <c r="C1728" s="605"/>
      <c r="D1728" s="606" t="s">
        <v>98</v>
      </c>
      <c r="E1728" s="721" t="s">
        <v>307</v>
      </c>
      <c r="F1728" s="605" t="s">
        <v>988</v>
      </c>
      <c r="G1728" s="122" t="s">
        <v>881</v>
      </c>
      <c r="H1728" s="505" t="s">
        <v>375</v>
      </c>
      <c r="I1728" s="582" t="str">
        <f>VLOOKUP(H1728,'9a-Typen vloeren'!$A$10:$B$40,2,FALSE)</f>
        <v>n.v.t.</v>
      </c>
      <c r="J1728" s="607">
        <v>95.01</v>
      </c>
      <c r="K1728" s="433">
        <f t="shared" si="144"/>
        <v>0</v>
      </c>
      <c r="L1728" s="433">
        <f t="shared" si="145"/>
        <v>0</v>
      </c>
      <c r="M1728" s="433">
        <f t="shared" si="146"/>
        <v>0</v>
      </c>
      <c r="N1728" s="672"/>
      <c r="O1728" s="729">
        <f>IF(N1728="",0,N1728*K1728/'9b-Vloeronderhoud'!$F$4)</f>
        <v>0</v>
      </c>
      <c r="P1728" s="672"/>
      <c r="Q1728" s="729" t="e">
        <f>IF(O1728="",0,P1728*L1728/'9b-Vloeronderhoud'!$F$6)</f>
        <v>#DIV/0!</v>
      </c>
      <c r="R1728" s="449">
        <v>1</v>
      </c>
      <c r="S1728" s="675" t="s">
        <v>179</v>
      </c>
      <c r="T1728" s="161">
        <f t="shared" si="139"/>
        <v>0</v>
      </c>
      <c r="U1728" s="162">
        <f>IF(S1728="nio",0,IF(S1728&gt;0,VLOOKUP(G1728,'3-Productie normen'!A:K,VLOOKUP(S1728,'3-Productie normen'!L:N,3,FALSE),FALSE)))</f>
        <v>0</v>
      </c>
      <c r="V1728" s="162">
        <f>VLOOKUP(G1728,'3-Productie normen'!A:K,10,FALSE)</f>
        <v>5262.809993648526</v>
      </c>
      <c r="W1728" s="163">
        <f>VLOOKUP(G1728,'3-Productie normen'!A:K,11,FALSE)</f>
        <v>0</v>
      </c>
      <c r="X1728" s="163"/>
      <c r="Z1728" s="129">
        <f t="shared" si="140"/>
        <v>0</v>
      </c>
    </row>
    <row r="1729" spans="1:26" ht="14.1" customHeight="1">
      <c r="A1729" s="144">
        <v>1767</v>
      </c>
      <c r="B1729" s="605" t="s">
        <v>980</v>
      </c>
      <c r="C1729" s="605"/>
      <c r="D1729" s="606" t="s">
        <v>98</v>
      </c>
      <c r="E1729" s="721" t="s">
        <v>309</v>
      </c>
      <c r="F1729" s="605" t="s">
        <v>989</v>
      </c>
      <c r="G1729" s="460" t="s">
        <v>881</v>
      </c>
      <c r="H1729" s="505" t="s">
        <v>375</v>
      </c>
      <c r="I1729" s="582" t="str">
        <f>VLOOKUP(H1729,'9a-Typen vloeren'!$A$10:$B$40,2,FALSE)</f>
        <v>n.v.t.</v>
      </c>
      <c r="J1729" s="607">
        <v>26.22</v>
      </c>
      <c r="K1729" s="433">
        <f t="shared" si="144"/>
        <v>0</v>
      </c>
      <c r="L1729" s="433">
        <f t="shared" si="145"/>
        <v>0</v>
      </c>
      <c r="M1729" s="433">
        <f t="shared" si="146"/>
        <v>0</v>
      </c>
      <c r="N1729" s="672"/>
      <c r="O1729" s="729">
        <f>IF(N1729="",0,N1729*K1729/'9b-Vloeronderhoud'!$F$4)</f>
        <v>0</v>
      </c>
      <c r="P1729" s="672"/>
      <c r="Q1729" s="729" t="e">
        <f>IF(O1729="",0,P1729*L1729/'9b-Vloeronderhoud'!$F$6)</f>
        <v>#DIV/0!</v>
      </c>
      <c r="R1729" s="449">
        <v>1</v>
      </c>
      <c r="S1729" s="675" t="s">
        <v>179</v>
      </c>
      <c r="T1729" s="161">
        <f t="shared" si="139"/>
        <v>0</v>
      </c>
      <c r="U1729" s="162">
        <f>IF(S1729="nio",0,IF(S1729&gt;0,VLOOKUP(G1729,'3-Productie normen'!A:K,VLOOKUP(S1729,'3-Productie normen'!L:N,3,FALSE),FALSE)))</f>
        <v>0</v>
      </c>
      <c r="V1729" s="162">
        <f>VLOOKUP(G1729,'3-Productie normen'!A:K,10,FALSE)</f>
        <v>5262.809993648526</v>
      </c>
      <c r="W1729" s="163">
        <f>VLOOKUP(G1729,'3-Productie normen'!A:K,11,FALSE)</f>
        <v>0</v>
      </c>
      <c r="X1729" s="163"/>
      <c r="Z1729" s="129">
        <f t="shared" si="140"/>
        <v>0</v>
      </c>
    </row>
    <row r="1730" spans="1:26" ht="14.1" customHeight="1">
      <c r="A1730" s="144">
        <v>1768</v>
      </c>
      <c r="B1730" s="605" t="s">
        <v>980</v>
      </c>
      <c r="C1730" s="605"/>
      <c r="D1730" s="606" t="s">
        <v>98</v>
      </c>
      <c r="E1730" s="721" t="s">
        <v>311</v>
      </c>
      <c r="F1730" s="605" t="s">
        <v>990</v>
      </c>
      <c r="G1730" s="122" t="s">
        <v>881</v>
      </c>
      <c r="H1730" s="505" t="s">
        <v>375</v>
      </c>
      <c r="I1730" s="582" t="str">
        <f>VLOOKUP(H1730,'9a-Typen vloeren'!$A$10:$B$40,2,FALSE)</f>
        <v>n.v.t.</v>
      </c>
      <c r="J1730" s="607">
        <v>26.16</v>
      </c>
      <c r="K1730" s="433">
        <f t="shared" si="144"/>
        <v>0</v>
      </c>
      <c r="L1730" s="433">
        <f t="shared" si="145"/>
        <v>0</v>
      </c>
      <c r="M1730" s="433">
        <f t="shared" si="146"/>
        <v>0</v>
      </c>
      <c r="N1730" s="672"/>
      <c r="O1730" s="729">
        <f>IF(N1730="",0,N1730*K1730/'9b-Vloeronderhoud'!$F$4)</f>
        <v>0</v>
      </c>
      <c r="P1730" s="672"/>
      <c r="Q1730" s="729" t="e">
        <f>IF(O1730="",0,P1730*L1730/'9b-Vloeronderhoud'!$F$6)</f>
        <v>#DIV/0!</v>
      </c>
      <c r="R1730" s="449">
        <v>1</v>
      </c>
      <c r="S1730" s="675" t="s">
        <v>179</v>
      </c>
      <c r="T1730" s="161">
        <f t="shared" si="139"/>
        <v>0</v>
      </c>
      <c r="U1730" s="162">
        <f>IF(S1730="nio",0,IF(S1730&gt;0,VLOOKUP(G1730,'3-Productie normen'!A:K,VLOOKUP(S1730,'3-Productie normen'!L:N,3,FALSE),FALSE)))</f>
        <v>0</v>
      </c>
      <c r="V1730" s="162">
        <f>VLOOKUP(G1730,'3-Productie normen'!A:K,10,FALSE)</f>
        <v>5262.809993648526</v>
      </c>
      <c r="W1730" s="163">
        <f>VLOOKUP(G1730,'3-Productie normen'!A:K,11,FALSE)</f>
        <v>0</v>
      </c>
      <c r="X1730" s="163"/>
      <c r="Z1730" s="129">
        <f t="shared" si="140"/>
        <v>0</v>
      </c>
    </row>
    <row r="1731" spans="1:26" ht="14.1" customHeight="1">
      <c r="A1731" s="144">
        <v>1769</v>
      </c>
      <c r="B1731" s="605" t="s">
        <v>980</v>
      </c>
      <c r="C1731" s="605"/>
      <c r="D1731" s="606" t="s">
        <v>98</v>
      </c>
      <c r="E1731" s="721" t="s">
        <v>312</v>
      </c>
      <c r="F1731" s="605" t="s">
        <v>991</v>
      </c>
      <c r="G1731" s="122" t="s">
        <v>881</v>
      </c>
      <c r="H1731" s="505" t="s">
        <v>375</v>
      </c>
      <c r="I1731" s="582" t="str">
        <f>VLOOKUP(H1731,'9a-Typen vloeren'!$A$10:$B$40,2,FALSE)</f>
        <v>n.v.t.</v>
      </c>
      <c r="J1731" s="607">
        <v>39.01</v>
      </c>
      <c r="K1731" s="433">
        <f t="shared" si="144"/>
        <v>0</v>
      </c>
      <c r="L1731" s="433">
        <f t="shared" si="145"/>
        <v>0</v>
      </c>
      <c r="M1731" s="433">
        <f t="shared" si="146"/>
        <v>0</v>
      </c>
      <c r="N1731" s="672"/>
      <c r="O1731" s="729">
        <f>IF(N1731="",0,N1731*K1731/'9b-Vloeronderhoud'!$F$4)</f>
        <v>0</v>
      </c>
      <c r="P1731" s="672"/>
      <c r="Q1731" s="729" t="e">
        <f>IF(O1731="",0,P1731*L1731/'9b-Vloeronderhoud'!$F$6)</f>
        <v>#DIV/0!</v>
      </c>
      <c r="R1731" s="449">
        <v>1</v>
      </c>
      <c r="S1731" s="675" t="s">
        <v>179</v>
      </c>
      <c r="T1731" s="161">
        <f t="shared" si="139"/>
        <v>0</v>
      </c>
      <c r="U1731" s="162">
        <f>IF(S1731="nio",0,IF(S1731&gt;0,VLOOKUP(G1731,'3-Productie normen'!A:K,VLOOKUP(S1731,'3-Productie normen'!L:N,3,FALSE),FALSE)))</f>
        <v>0</v>
      </c>
      <c r="V1731" s="162">
        <f>VLOOKUP(G1731,'3-Productie normen'!A:K,10,FALSE)</f>
        <v>5262.809993648526</v>
      </c>
      <c r="W1731" s="163">
        <f>VLOOKUP(G1731,'3-Productie normen'!A:K,11,FALSE)</f>
        <v>0</v>
      </c>
      <c r="X1731" s="163"/>
      <c r="Z1731" s="129">
        <f t="shared" si="140"/>
        <v>0</v>
      </c>
    </row>
    <row r="1732" spans="1:26" ht="14.1" customHeight="1">
      <c r="A1732" s="144">
        <v>1770</v>
      </c>
      <c r="B1732" s="605" t="s">
        <v>980</v>
      </c>
      <c r="C1732" s="605"/>
      <c r="D1732" s="606" t="s">
        <v>98</v>
      </c>
      <c r="E1732" s="721" t="s">
        <v>314</v>
      </c>
      <c r="F1732" s="605" t="s">
        <v>992</v>
      </c>
      <c r="G1732" s="122" t="s">
        <v>881</v>
      </c>
      <c r="H1732" s="505" t="s">
        <v>375</v>
      </c>
      <c r="I1732" s="582" t="str">
        <f>VLOOKUP(H1732,'9a-Typen vloeren'!$A$10:$B$40,2,FALSE)</f>
        <v>n.v.t.</v>
      </c>
      <c r="J1732" s="607">
        <v>35.86</v>
      </c>
      <c r="K1732" s="433">
        <f t="shared" si="144"/>
        <v>0</v>
      </c>
      <c r="L1732" s="433">
        <f t="shared" si="145"/>
        <v>0</v>
      </c>
      <c r="M1732" s="433">
        <f t="shared" si="146"/>
        <v>0</v>
      </c>
      <c r="N1732" s="672"/>
      <c r="O1732" s="729">
        <f>IF(N1732="",0,N1732*K1732/'9b-Vloeronderhoud'!$F$4)</f>
        <v>0</v>
      </c>
      <c r="P1732" s="672"/>
      <c r="Q1732" s="729" t="e">
        <f>IF(O1732="",0,P1732*L1732/'9b-Vloeronderhoud'!$F$6)</f>
        <v>#DIV/0!</v>
      </c>
      <c r="R1732" s="449">
        <v>1</v>
      </c>
      <c r="S1732" s="675" t="s">
        <v>179</v>
      </c>
      <c r="T1732" s="161">
        <f t="shared" si="139"/>
        <v>0</v>
      </c>
      <c r="U1732" s="162">
        <f>IF(S1732="nio",0,IF(S1732&gt;0,VLOOKUP(G1732,'3-Productie normen'!A:K,VLOOKUP(S1732,'3-Productie normen'!L:N,3,FALSE),FALSE)))</f>
        <v>0</v>
      </c>
      <c r="V1732" s="162">
        <f>VLOOKUP(G1732,'3-Productie normen'!A:K,10,FALSE)</f>
        <v>5262.809993648526</v>
      </c>
      <c r="W1732" s="163">
        <f>VLOOKUP(G1732,'3-Productie normen'!A:K,11,FALSE)</f>
        <v>0</v>
      </c>
      <c r="X1732" s="163"/>
      <c r="Z1732" s="129">
        <f t="shared" si="140"/>
        <v>0</v>
      </c>
    </row>
    <row r="1733" spans="1:26" ht="14.1" customHeight="1">
      <c r="A1733" s="144">
        <v>1771</v>
      </c>
      <c r="B1733" s="605" t="s">
        <v>980</v>
      </c>
      <c r="C1733" s="605"/>
      <c r="D1733" s="606" t="s">
        <v>98</v>
      </c>
      <c r="E1733" s="721" t="s">
        <v>315</v>
      </c>
      <c r="F1733" s="605" t="s">
        <v>993</v>
      </c>
      <c r="G1733" s="122" t="s">
        <v>881</v>
      </c>
      <c r="H1733" s="505" t="s">
        <v>375</v>
      </c>
      <c r="I1733" s="582" t="str">
        <f>VLOOKUP(H1733,'9a-Typen vloeren'!$A$10:$B$40,2,FALSE)</f>
        <v>n.v.t.</v>
      </c>
      <c r="J1733" s="607">
        <v>3.56</v>
      </c>
      <c r="K1733" s="433">
        <f t="shared" si="144"/>
        <v>0</v>
      </c>
      <c r="L1733" s="433">
        <f t="shared" si="145"/>
        <v>0</v>
      </c>
      <c r="M1733" s="433">
        <f t="shared" si="146"/>
        <v>0</v>
      </c>
      <c r="N1733" s="672"/>
      <c r="O1733" s="729">
        <f>IF(N1733="",0,N1733*K1733/'9b-Vloeronderhoud'!$F$4)</f>
        <v>0</v>
      </c>
      <c r="P1733" s="672"/>
      <c r="Q1733" s="729" t="e">
        <f>IF(O1733="",0,P1733*L1733/'9b-Vloeronderhoud'!$F$6)</f>
        <v>#DIV/0!</v>
      </c>
      <c r="R1733" s="449">
        <v>1</v>
      </c>
      <c r="S1733" s="675" t="s">
        <v>179</v>
      </c>
      <c r="T1733" s="161">
        <f t="shared" si="139"/>
        <v>0</v>
      </c>
      <c r="U1733" s="162">
        <f>IF(S1733="nio",0,IF(S1733&gt;0,VLOOKUP(G1733,'3-Productie normen'!A:K,VLOOKUP(S1733,'3-Productie normen'!L:N,3,FALSE),FALSE)))</f>
        <v>0</v>
      </c>
      <c r="V1733" s="162">
        <f>VLOOKUP(G1733,'3-Productie normen'!A:K,10,FALSE)</f>
        <v>5262.809993648526</v>
      </c>
      <c r="W1733" s="163">
        <f>VLOOKUP(G1733,'3-Productie normen'!A:K,11,FALSE)</f>
        <v>0</v>
      </c>
      <c r="X1733" s="163"/>
      <c r="Z1733" s="129">
        <f t="shared" si="140"/>
        <v>0</v>
      </c>
    </row>
    <row r="1734" spans="1:26" ht="14.1" customHeight="1">
      <c r="A1734" s="144">
        <v>1772</v>
      </c>
      <c r="B1734" s="605" t="s">
        <v>980</v>
      </c>
      <c r="C1734" s="605"/>
      <c r="D1734" s="606" t="s">
        <v>98</v>
      </c>
      <c r="E1734" s="721" t="s">
        <v>317</v>
      </c>
      <c r="F1734" s="605" t="s">
        <v>994</v>
      </c>
      <c r="G1734" s="122" t="s">
        <v>881</v>
      </c>
      <c r="H1734" s="505" t="s">
        <v>375</v>
      </c>
      <c r="I1734" s="582" t="str">
        <f>VLOOKUP(H1734,'9a-Typen vloeren'!$A$10:$B$40,2,FALSE)</f>
        <v>n.v.t.</v>
      </c>
      <c r="J1734" s="607">
        <v>8.3000000000000007</v>
      </c>
      <c r="K1734" s="433">
        <f t="shared" si="144"/>
        <v>0</v>
      </c>
      <c r="L1734" s="433">
        <f t="shared" si="145"/>
        <v>0</v>
      </c>
      <c r="M1734" s="433">
        <f t="shared" si="146"/>
        <v>0</v>
      </c>
      <c r="N1734" s="672"/>
      <c r="O1734" s="729">
        <f>IF(N1734="",0,N1734*K1734/'9b-Vloeronderhoud'!$F$4)</f>
        <v>0</v>
      </c>
      <c r="P1734" s="672"/>
      <c r="Q1734" s="729" t="e">
        <f>IF(O1734="",0,P1734*L1734/'9b-Vloeronderhoud'!$F$6)</f>
        <v>#DIV/0!</v>
      </c>
      <c r="R1734" s="449">
        <v>1</v>
      </c>
      <c r="S1734" s="675" t="s">
        <v>179</v>
      </c>
      <c r="T1734" s="161">
        <f t="shared" si="139"/>
        <v>0</v>
      </c>
      <c r="U1734" s="162">
        <f>IF(S1734="nio",0,IF(S1734&gt;0,VLOOKUP(G1734,'3-Productie normen'!A:K,VLOOKUP(S1734,'3-Productie normen'!L:N,3,FALSE),FALSE)))</f>
        <v>0</v>
      </c>
      <c r="V1734" s="162">
        <f>VLOOKUP(G1734,'3-Productie normen'!A:K,10,FALSE)</f>
        <v>5262.809993648526</v>
      </c>
      <c r="W1734" s="163">
        <f>VLOOKUP(G1734,'3-Productie normen'!A:K,11,FALSE)</f>
        <v>0</v>
      </c>
      <c r="X1734" s="163"/>
      <c r="Z1734" s="129">
        <f t="shared" si="140"/>
        <v>0</v>
      </c>
    </row>
    <row r="1735" spans="1:26" ht="14.1" customHeight="1">
      <c r="A1735" s="144">
        <v>1773</v>
      </c>
      <c r="B1735" s="605" t="s">
        <v>980</v>
      </c>
      <c r="C1735" s="605"/>
      <c r="D1735" s="606" t="s">
        <v>98</v>
      </c>
      <c r="E1735" s="721" t="s">
        <v>318</v>
      </c>
      <c r="F1735" s="605" t="s">
        <v>995</v>
      </c>
      <c r="G1735" s="122" t="s">
        <v>881</v>
      </c>
      <c r="H1735" s="505" t="s">
        <v>375</v>
      </c>
      <c r="I1735" s="582" t="str">
        <f>VLOOKUP(H1735,'9a-Typen vloeren'!$A$10:$B$40,2,FALSE)</f>
        <v>n.v.t.</v>
      </c>
      <c r="J1735" s="607">
        <v>12.18</v>
      </c>
      <c r="K1735" s="433">
        <f t="shared" si="144"/>
        <v>0</v>
      </c>
      <c r="L1735" s="433">
        <f t="shared" si="145"/>
        <v>0</v>
      </c>
      <c r="M1735" s="433">
        <f t="shared" si="146"/>
        <v>0</v>
      </c>
      <c r="N1735" s="672"/>
      <c r="O1735" s="729">
        <f>IF(N1735="",0,N1735*K1735/'9b-Vloeronderhoud'!$F$4)</f>
        <v>0</v>
      </c>
      <c r="P1735" s="672"/>
      <c r="Q1735" s="729" t="e">
        <f>IF(O1735="",0,P1735*L1735/'9b-Vloeronderhoud'!$F$6)</f>
        <v>#DIV/0!</v>
      </c>
      <c r="R1735" s="449">
        <v>1</v>
      </c>
      <c r="S1735" s="675" t="s">
        <v>179</v>
      </c>
      <c r="T1735" s="161">
        <f t="shared" si="139"/>
        <v>0</v>
      </c>
      <c r="U1735" s="162">
        <f>IF(S1735="nio",0,IF(S1735&gt;0,VLOOKUP(G1735,'3-Productie normen'!A:K,VLOOKUP(S1735,'3-Productie normen'!L:N,3,FALSE),FALSE)))</f>
        <v>0</v>
      </c>
      <c r="V1735" s="162">
        <f>VLOOKUP(G1735,'3-Productie normen'!A:K,10,FALSE)</f>
        <v>5262.809993648526</v>
      </c>
      <c r="W1735" s="163">
        <f>VLOOKUP(G1735,'3-Productie normen'!A:K,11,FALSE)</f>
        <v>0</v>
      </c>
      <c r="X1735" s="163"/>
      <c r="Z1735" s="129">
        <f t="shared" si="140"/>
        <v>0</v>
      </c>
    </row>
    <row r="1736" spans="1:26" ht="14.1" customHeight="1">
      <c r="A1736" s="144">
        <v>1774</v>
      </c>
      <c r="B1736" s="605" t="s">
        <v>980</v>
      </c>
      <c r="C1736" s="605"/>
      <c r="D1736" s="606" t="s">
        <v>98</v>
      </c>
      <c r="E1736" s="721" t="s">
        <v>996</v>
      </c>
      <c r="F1736" s="605" t="s">
        <v>997</v>
      </c>
      <c r="G1736" s="460" t="s">
        <v>881</v>
      </c>
      <c r="H1736" s="505" t="s">
        <v>375</v>
      </c>
      <c r="I1736" s="582" t="str">
        <f>VLOOKUP(H1736,'9a-Typen vloeren'!$A$10:$B$40,2,FALSE)</f>
        <v>n.v.t.</v>
      </c>
      <c r="J1736" s="607">
        <v>3.33</v>
      </c>
      <c r="K1736" s="433">
        <f t="shared" si="144"/>
        <v>0</v>
      </c>
      <c r="L1736" s="433">
        <f t="shared" si="145"/>
        <v>0</v>
      </c>
      <c r="M1736" s="433">
        <f t="shared" si="146"/>
        <v>0</v>
      </c>
      <c r="N1736" s="672"/>
      <c r="O1736" s="729">
        <f>IF(N1736="",0,N1736*K1736/'9b-Vloeronderhoud'!$F$4)</f>
        <v>0</v>
      </c>
      <c r="P1736" s="672"/>
      <c r="Q1736" s="729" t="e">
        <f>IF(O1736="",0,P1736*L1736/'9b-Vloeronderhoud'!$F$6)</f>
        <v>#DIV/0!</v>
      </c>
      <c r="R1736" s="449">
        <v>1</v>
      </c>
      <c r="S1736" s="675" t="s">
        <v>179</v>
      </c>
      <c r="T1736" s="161">
        <f t="shared" si="139"/>
        <v>0</v>
      </c>
      <c r="U1736" s="162">
        <f>IF(S1736="nio",0,IF(S1736&gt;0,VLOOKUP(G1736,'3-Productie normen'!A:K,VLOOKUP(S1736,'3-Productie normen'!L:N,3,FALSE),FALSE)))</f>
        <v>0</v>
      </c>
      <c r="V1736" s="162">
        <f>VLOOKUP(G1736,'3-Productie normen'!A:K,10,FALSE)</f>
        <v>5262.809993648526</v>
      </c>
      <c r="W1736" s="163">
        <f>VLOOKUP(G1736,'3-Productie normen'!A:K,11,FALSE)</f>
        <v>0</v>
      </c>
      <c r="X1736" s="163"/>
      <c r="Z1736" s="129">
        <f t="shared" si="140"/>
        <v>0</v>
      </c>
    </row>
    <row r="1737" spans="1:26" ht="14.1" customHeight="1">
      <c r="A1737" s="144">
        <v>1775</v>
      </c>
      <c r="B1737" s="605" t="s">
        <v>980</v>
      </c>
      <c r="C1737" s="605"/>
      <c r="D1737" s="606" t="s">
        <v>98</v>
      </c>
      <c r="E1737" s="721" t="s">
        <v>998</v>
      </c>
      <c r="F1737" s="605" t="s">
        <v>999</v>
      </c>
      <c r="G1737" s="460" t="s">
        <v>881</v>
      </c>
      <c r="H1737" s="505" t="s">
        <v>375</v>
      </c>
      <c r="I1737" s="582" t="str">
        <f>VLOOKUP(H1737,'9a-Typen vloeren'!$A$10:$B$40,2,FALSE)</f>
        <v>n.v.t.</v>
      </c>
      <c r="J1737" s="607">
        <v>3.33</v>
      </c>
      <c r="K1737" s="433">
        <f t="shared" si="144"/>
        <v>0</v>
      </c>
      <c r="L1737" s="433">
        <f t="shared" si="145"/>
        <v>0</v>
      </c>
      <c r="M1737" s="433">
        <f t="shared" si="146"/>
        <v>0</v>
      </c>
      <c r="N1737" s="672"/>
      <c r="O1737" s="729">
        <f>IF(N1737="",0,N1737*K1737/'9b-Vloeronderhoud'!$F$4)</f>
        <v>0</v>
      </c>
      <c r="P1737" s="672"/>
      <c r="Q1737" s="729" t="e">
        <f>IF(O1737="",0,P1737*L1737/'9b-Vloeronderhoud'!$F$6)</f>
        <v>#DIV/0!</v>
      </c>
      <c r="R1737" s="449">
        <v>1</v>
      </c>
      <c r="S1737" s="675" t="s">
        <v>179</v>
      </c>
      <c r="T1737" s="161">
        <f t="shared" si="139"/>
        <v>0</v>
      </c>
      <c r="U1737" s="162">
        <f>IF(S1737="nio",0,IF(S1737&gt;0,VLOOKUP(G1737,'3-Productie normen'!A:K,VLOOKUP(S1737,'3-Productie normen'!L:N,3,FALSE),FALSE)))</f>
        <v>0</v>
      </c>
      <c r="V1737" s="162">
        <f>VLOOKUP(G1737,'3-Productie normen'!A:K,10,FALSE)</f>
        <v>5262.809993648526</v>
      </c>
      <c r="W1737" s="163">
        <f>VLOOKUP(G1737,'3-Productie normen'!A:K,11,FALSE)</f>
        <v>0</v>
      </c>
      <c r="X1737" s="163"/>
      <c r="Z1737" s="129">
        <f t="shared" si="140"/>
        <v>0</v>
      </c>
    </row>
    <row r="1738" spans="1:26" ht="14.1" customHeight="1">
      <c r="A1738" s="144">
        <v>1776</v>
      </c>
      <c r="B1738" s="605" t="s">
        <v>980</v>
      </c>
      <c r="C1738" s="605"/>
      <c r="D1738" s="606" t="s">
        <v>98</v>
      </c>
      <c r="E1738" s="721" t="s">
        <v>320</v>
      </c>
      <c r="F1738" s="605" t="s">
        <v>1000</v>
      </c>
      <c r="G1738" s="460" t="s">
        <v>881</v>
      </c>
      <c r="H1738" s="505" t="s">
        <v>375</v>
      </c>
      <c r="I1738" s="582" t="str">
        <f>VLOOKUP(H1738,'9a-Typen vloeren'!$A$10:$B$40,2,FALSE)</f>
        <v>n.v.t.</v>
      </c>
      <c r="J1738" s="607">
        <v>6.72</v>
      </c>
      <c r="K1738" s="433">
        <f t="shared" si="144"/>
        <v>0</v>
      </c>
      <c r="L1738" s="433">
        <f t="shared" si="145"/>
        <v>0</v>
      </c>
      <c r="M1738" s="433">
        <f t="shared" si="146"/>
        <v>0</v>
      </c>
      <c r="N1738" s="672"/>
      <c r="O1738" s="729">
        <f>IF(N1738="",0,N1738*K1738/'9b-Vloeronderhoud'!$F$4)</f>
        <v>0</v>
      </c>
      <c r="P1738" s="672"/>
      <c r="Q1738" s="729" t="e">
        <f>IF(O1738="",0,P1738*L1738/'9b-Vloeronderhoud'!$F$6)</f>
        <v>#DIV/0!</v>
      </c>
      <c r="R1738" s="449">
        <v>1</v>
      </c>
      <c r="S1738" s="675" t="s">
        <v>179</v>
      </c>
      <c r="T1738" s="161">
        <f t="shared" ref="T1738:T1789" si="147">IF(S1738="nio",0,IF(S1738&gt;0,S1738*J1738/U1738,0))*R1738</f>
        <v>0</v>
      </c>
      <c r="U1738" s="162">
        <f>IF(S1738="nio",0,IF(S1738&gt;0,VLOOKUP(G1738,'3-Productie normen'!A:K,VLOOKUP(S1738,'3-Productie normen'!L:N,3,FALSE),FALSE)))</f>
        <v>0</v>
      </c>
      <c r="V1738" s="162">
        <f>VLOOKUP(G1738,'3-Productie normen'!A:K,10,FALSE)</f>
        <v>5262.809993648526</v>
      </c>
      <c r="W1738" s="163">
        <f>VLOOKUP(G1738,'3-Productie normen'!A:K,11,FALSE)</f>
        <v>0</v>
      </c>
      <c r="X1738" s="163"/>
      <c r="Z1738" s="129">
        <f t="shared" ref="Z1738:Z1789" si="148">SUM(S1738:S1738)*J1738</f>
        <v>0</v>
      </c>
    </row>
    <row r="1739" spans="1:26" ht="14.1" customHeight="1">
      <c r="A1739" s="144">
        <v>1777</v>
      </c>
      <c r="B1739" s="605" t="s">
        <v>980</v>
      </c>
      <c r="C1739" s="605"/>
      <c r="D1739" s="606" t="s">
        <v>98</v>
      </c>
      <c r="E1739" s="721" t="s">
        <v>1001</v>
      </c>
      <c r="F1739" s="605" t="s">
        <v>1000</v>
      </c>
      <c r="G1739" s="460" t="s">
        <v>881</v>
      </c>
      <c r="H1739" s="505" t="s">
        <v>375</v>
      </c>
      <c r="I1739" s="582" t="str">
        <f>VLOOKUP(H1739,'9a-Typen vloeren'!$A$10:$B$40,2,FALSE)</f>
        <v>n.v.t.</v>
      </c>
      <c r="J1739" s="607">
        <v>6.72</v>
      </c>
      <c r="K1739" s="433">
        <f t="shared" si="144"/>
        <v>0</v>
      </c>
      <c r="L1739" s="433">
        <f t="shared" si="145"/>
        <v>0</v>
      </c>
      <c r="M1739" s="433">
        <f t="shared" si="146"/>
        <v>0</v>
      </c>
      <c r="N1739" s="672"/>
      <c r="O1739" s="729">
        <f>IF(N1739="",0,N1739*K1739/'9b-Vloeronderhoud'!$F$4)</f>
        <v>0</v>
      </c>
      <c r="P1739" s="672"/>
      <c r="Q1739" s="729" t="e">
        <f>IF(O1739="",0,P1739*L1739/'9b-Vloeronderhoud'!$F$6)</f>
        <v>#DIV/0!</v>
      </c>
      <c r="R1739" s="449">
        <v>1</v>
      </c>
      <c r="S1739" s="675" t="s">
        <v>179</v>
      </c>
      <c r="T1739" s="161">
        <f t="shared" si="147"/>
        <v>0</v>
      </c>
      <c r="U1739" s="162">
        <f>IF(S1739="nio",0,IF(S1739&gt;0,VLOOKUP(G1739,'3-Productie normen'!A:K,VLOOKUP(S1739,'3-Productie normen'!L:N,3,FALSE),FALSE)))</f>
        <v>0</v>
      </c>
      <c r="V1739" s="162">
        <f>VLOOKUP(G1739,'3-Productie normen'!A:K,10,FALSE)</f>
        <v>5262.809993648526</v>
      </c>
      <c r="W1739" s="163">
        <f>VLOOKUP(G1739,'3-Productie normen'!A:K,11,FALSE)</f>
        <v>0</v>
      </c>
      <c r="X1739" s="163"/>
      <c r="Z1739" s="129">
        <f t="shared" si="148"/>
        <v>0</v>
      </c>
    </row>
    <row r="1740" spans="1:26" ht="14.1" customHeight="1">
      <c r="A1740" s="144">
        <v>1778</v>
      </c>
      <c r="B1740" s="605" t="s">
        <v>980</v>
      </c>
      <c r="C1740" s="605"/>
      <c r="D1740" s="606" t="s">
        <v>98</v>
      </c>
      <c r="E1740" s="721" t="s">
        <v>323</v>
      </c>
      <c r="F1740" s="605" t="s">
        <v>1000</v>
      </c>
      <c r="G1740" s="460" t="s">
        <v>881</v>
      </c>
      <c r="H1740" s="505" t="s">
        <v>375</v>
      </c>
      <c r="I1740" s="582" t="str">
        <f>VLOOKUP(H1740,'9a-Typen vloeren'!$A$10:$B$40,2,FALSE)</f>
        <v>n.v.t.</v>
      </c>
      <c r="J1740" s="607">
        <v>6.98</v>
      </c>
      <c r="K1740" s="433">
        <f t="shared" si="144"/>
        <v>0</v>
      </c>
      <c r="L1740" s="433">
        <f t="shared" si="145"/>
        <v>0</v>
      </c>
      <c r="M1740" s="433">
        <f t="shared" si="146"/>
        <v>0</v>
      </c>
      <c r="N1740" s="672"/>
      <c r="O1740" s="729">
        <f>IF(N1740="",0,N1740*K1740/'9b-Vloeronderhoud'!$F$4)</f>
        <v>0</v>
      </c>
      <c r="P1740" s="672"/>
      <c r="Q1740" s="729" t="e">
        <f>IF(O1740="",0,P1740*L1740/'9b-Vloeronderhoud'!$F$6)</f>
        <v>#DIV/0!</v>
      </c>
      <c r="R1740" s="449">
        <v>1</v>
      </c>
      <c r="S1740" s="675" t="s">
        <v>179</v>
      </c>
      <c r="T1740" s="161">
        <f t="shared" si="147"/>
        <v>0</v>
      </c>
      <c r="U1740" s="162">
        <f>IF(S1740="nio",0,IF(S1740&gt;0,VLOOKUP(G1740,'3-Productie normen'!A:K,VLOOKUP(S1740,'3-Productie normen'!L:N,3,FALSE),FALSE)))</f>
        <v>0</v>
      </c>
      <c r="V1740" s="162">
        <f>VLOOKUP(G1740,'3-Productie normen'!A:K,10,FALSE)</f>
        <v>5262.809993648526</v>
      </c>
      <c r="W1740" s="163">
        <f>VLOOKUP(G1740,'3-Productie normen'!A:K,11,FALSE)</f>
        <v>0</v>
      </c>
      <c r="X1740" s="163"/>
      <c r="Z1740" s="129">
        <f t="shared" si="148"/>
        <v>0</v>
      </c>
    </row>
    <row r="1741" spans="1:26" ht="14.1" customHeight="1">
      <c r="A1741" s="144">
        <v>1779</v>
      </c>
      <c r="B1741" s="605" t="s">
        <v>980</v>
      </c>
      <c r="C1741" s="605"/>
      <c r="D1741" s="606" t="s">
        <v>98</v>
      </c>
      <c r="E1741" s="721" t="s">
        <v>325</v>
      </c>
      <c r="F1741" s="605" t="s">
        <v>1000</v>
      </c>
      <c r="G1741" s="460" t="s">
        <v>881</v>
      </c>
      <c r="H1741" s="505" t="s">
        <v>375</v>
      </c>
      <c r="I1741" s="582" t="str">
        <f>VLOOKUP(H1741,'9a-Typen vloeren'!$A$10:$B$40,2,FALSE)</f>
        <v>n.v.t.</v>
      </c>
      <c r="J1741" s="607">
        <v>16.77</v>
      </c>
      <c r="K1741" s="433">
        <f t="shared" si="144"/>
        <v>0</v>
      </c>
      <c r="L1741" s="433">
        <f t="shared" si="145"/>
        <v>0</v>
      </c>
      <c r="M1741" s="433">
        <f t="shared" si="146"/>
        <v>0</v>
      </c>
      <c r="N1741" s="672"/>
      <c r="O1741" s="729">
        <f>IF(N1741="",0,N1741*K1741/'9b-Vloeronderhoud'!$F$4)</f>
        <v>0</v>
      </c>
      <c r="P1741" s="672"/>
      <c r="Q1741" s="729" t="e">
        <f>IF(O1741="",0,P1741*L1741/'9b-Vloeronderhoud'!$F$6)</f>
        <v>#DIV/0!</v>
      </c>
      <c r="R1741" s="449">
        <v>1</v>
      </c>
      <c r="S1741" s="675" t="s">
        <v>179</v>
      </c>
      <c r="T1741" s="161">
        <f t="shared" si="147"/>
        <v>0</v>
      </c>
      <c r="U1741" s="162">
        <f>IF(S1741="nio",0,IF(S1741&gt;0,VLOOKUP(G1741,'3-Productie normen'!A:K,VLOOKUP(S1741,'3-Productie normen'!L:N,3,FALSE),FALSE)))</f>
        <v>0</v>
      </c>
      <c r="V1741" s="162">
        <f>VLOOKUP(G1741,'3-Productie normen'!A:K,10,FALSE)</f>
        <v>5262.809993648526</v>
      </c>
      <c r="W1741" s="163">
        <f>VLOOKUP(G1741,'3-Productie normen'!A:K,11,FALSE)</f>
        <v>0</v>
      </c>
      <c r="X1741" s="163"/>
      <c r="Z1741" s="129">
        <f t="shared" si="148"/>
        <v>0</v>
      </c>
    </row>
    <row r="1742" spans="1:26" ht="14.1" customHeight="1">
      <c r="A1742" s="144">
        <v>1780</v>
      </c>
      <c r="B1742" s="605" t="s">
        <v>980</v>
      </c>
      <c r="C1742" s="605"/>
      <c r="D1742" s="606" t="s">
        <v>98</v>
      </c>
      <c r="E1742" s="721" t="s">
        <v>326</v>
      </c>
      <c r="F1742" s="605" t="s">
        <v>1002</v>
      </c>
      <c r="G1742" s="122" t="s">
        <v>881</v>
      </c>
      <c r="H1742" s="505" t="s">
        <v>375</v>
      </c>
      <c r="I1742" s="582" t="str">
        <f>VLOOKUP(H1742,'9a-Typen vloeren'!$A$10:$B$40,2,FALSE)</f>
        <v>n.v.t.</v>
      </c>
      <c r="J1742" s="607">
        <v>147.72999999999999</v>
      </c>
      <c r="K1742" s="433">
        <f t="shared" si="144"/>
        <v>0</v>
      </c>
      <c r="L1742" s="433">
        <f t="shared" si="145"/>
        <v>0</v>
      </c>
      <c r="M1742" s="433">
        <f t="shared" si="146"/>
        <v>0</v>
      </c>
      <c r="N1742" s="672"/>
      <c r="O1742" s="729">
        <f>IF(N1742="",0,N1742*K1742/'9b-Vloeronderhoud'!$F$4)</f>
        <v>0</v>
      </c>
      <c r="P1742" s="672"/>
      <c r="Q1742" s="729" t="e">
        <f>IF(O1742="",0,P1742*L1742/'9b-Vloeronderhoud'!$F$6)</f>
        <v>#DIV/0!</v>
      </c>
      <c r="R1742" s="449">
        <v>1</v>
      </c>
      <c r="S1742" s="675" t="s">
        <v>179</v>
      </c>
      <c r="T1742" s="161">
        <f t="shared" si="147"/>
        <v>0</v>
      </c>
      <c r="U1742" s="162">
        <f>IF(S1742="nio",0,IF(S1742&gt;0,VLOOKUP(G1742,'3-Productie normen'!A:K,VLOOKUP(S1742,'3-Productie normen'!L:N,3,FALSE),FALSE)))</f>
        <v>0</v>
      </c>
      <c r="V1742" s="162">
        <f>VLOOKUP(G1742,'3-Productie normen'!A:K,10,FALSE)</f>
        <v>5262.809993648526</v>
      </c>
      <c r="W1742" s="163">
        <f>VLOOKUP(G1742,'3-Productie normen'!A:K,11,FALSE)</f>
        <v>0</v>
      </c>
      <c r="X1742" s="163"/>
      <c r="Z1742" s="129">
        <f t="shared" si="148"/>
        <v>0</v>
      </c>
    </row>
    <row r="1743" spans="1:26" ht="14.1" customHeight="1">
      <c r="A1743" s="144">
        <v>1781</v>
      </c>
      <c r="B1743" s="605" t="s">
        <v>980</v>
      </c>
      <c r="C1743" s="605"/>
      <c r="D1743" s="606" t="s">
        <v>98</v>
      </c>
      <c r="E1743" s="721" t="s">
        <v>328</v>
      </c>
      <c r="F1743" s="605" t="s">
        <v>1003</v>
      </c>
      <c r="G1743" s="122" t="s">
        <v>881</v>
      </c>
      <c r="H1743" s="505" t="s">
        <v>375</v>
      </c>
      <c r="I1743" s="582" t="str">
        <f>VLOOKUP(H1743,'9a-Typen vloeren'!$A$10:$B$40,2,FALSE)</f>
        <v>n.v.t.</v>
      </c>
      <c r="J1743" s="607">
        <v>455.17</v>
      </c>
      <c r="K1743" s="433">
        <f t="shared" si="144"/>
        <v>0</v>
      </c>
      <c r="L1743" s="433">
        <f t="shared" si="145"/>
        <v>0</v>
      </c>
      <c r="M1743" s="433">
        <f t="shared" si="146"/>
        <v>0</v>
      </c>
      <c r="N1743" s="672"/>
      <c r="O1743" s="729">
        <f>IF(N1743="",0,N1743*K1743/'9b-Vloeronderhoud'!$F$4)</f>
        <v>0</v>
      </c>
      <c r="P1743" s="672"/>
      <c r="Q1743" s="729" t="e">
        <f>IF(O1743="",0,P1743*L1743/'9b-Vloeronderhoud'!$F$6)</f>
        <v>#DIV/0!</v>
      </c>
      <c r="R1743" s="449">
        <v>1</v>
      </c>
      <c r="S1743" s="675" t="s">
        <v>179</v>
      </c>
      <c r="T1743" s="161">
        <f t="shared" si="147"/>
        <v>0</v>
      </c>
      <c r="U1743" s="162">
        <f>IF(S1743="nio",0,IF(S1743&gt;0,VLOOKUP(G1743,'3-Productie normen'!A:K,VLOOKUP(S1743,'3-Productie normen'!L:N,3,FALSE),FALSE)))</f>
        <v>0</v>
      </c>
      <c r="V1743" s="162">
        <f>VLOOKUP(G1743,'3-Productie normen'!A:K,10,FALSE)</f>
        <v>5262.809993648526</v>
      </c>
      <c r="W1743" s="163">
        <f>VLOOKUP(G1743,'3-Productie normen'!A:K,11,FALSE)</f>
        <v>0</v>
      </c>
      <c r="X1743" s="163"/>
      <c r="Z1743" s="129">
        <f t="shared" si="148"/>
        <v>0</v>
      </c>
    </row>
    <row r="1744" spans="1:26" ht="14.1" customHeight="1">
      <c r="A1744" s="144">
        <v>1782</v>
      </c>
      <c r="B1744" s="605" t="s">
        <v>980</v>
      </c>
      <c r="C1744" s="605"/>
      <c r="D1744" s="606" t="s">
        <v>98</v>
      </c>
      <c r="E1744" s="721" t="s">
        <v>329</v>
      </c>
      <c r="F1744" s="605" t="s">
        <v>1004</v>
      </c>
      <c r="G1744" s="460" t="s">
        <v>881</v>
      </c>
      <c r="H1744" s="505" t="s">
        <v>375</v>
      </c>
      <c r="I1744" s="582" t="str">
        <f>VLOOKUP(H1744,'9a-Typen vloeren'!$A$10:$B$40,2,FALSE)</f>
        <v>n.v.t.</v>
      </c>
      <c r="J1744" s="607">
        <v>23.69</v>
      </c>
      <c r="K1744" s="433">
        <f t="shared" si="144"/>
        <v>0</v>
      </c>
      <c r="L1744" s="433">
        <f t="shared" si="145"/>
        <v>0</v>
      </c>
      <c r="M1744" s="433">
        <f t="shared" si="146"/>
        <v>0</v>
      </c>
      <c r="N1744" s="672"/>
      <c r="O1744" s="729">
        <f>IF(N1744="",0,N1744*K1744/'9b-Vloeronderhoud'!$F$4)</f>
        <v>0</v>
      </c>
      <c r="P1744" s="672"/>
      <c r="Q1744" s="729" t="e">
        <f>IF(O1744="",0,P1744*L1744/'9b-Vloeronderhoud'!$F$6)</f>
        <v>#DIV/0!</v>
      </c>
      <c r="R1744" s="449">
        <v>1</v>
      </c>
      <c r="S1744" s="675" t="s">
        <v>179</v>
      </c>
      <c r="T1744" s="161">
        <f t="shared" si="147"/>
        <v>0</v>
      </c>
      <c r="U1744" s="162">
        <f>IF(S1744="nio",0,IF(S1744&gt;0,VLOOKUP(G1744,'3-Productie normen'!A:K,VLOOKUP(S1744,'3-Productie normen'!L:N,3,FALSE),FALSE)))</f>
        <v>0</v>
      </c>
      <c r="V1744" s="162">
        <f>VLOOKUP(G1744,'3-Productie normen'!A:K,10,FALSE)</f>
        <v>5262.809993648526</v>
      </c>
      <c r="W1744" s="163">
        <f>VLOOKUP(G1744,'3-Productie normen'!A:K,11,FALSE)</f>
        <v>0</v>
      </c>
      <c r="X1744" s="163"/>
      <c r="Z1744" s="129">
        <f t="shared" si="148"/>
        <v>0</v>
      </c>
    </row>
    <row r="1745" spans="1:26" ht="14.1" customHeight="1">
      <c r="A1745" s="144">
        <v>1783</v>
      </c>
      <c r="B1745" s="605" t="s">
        <v>980</v>
      </c>
      <c r="C1745" s="605"/>
      <c r="D1745" s="606" t="s">
        <v>98</v>
      </c>
      <c r="E1745" s="721" t="s">
        <v>330</v>
      </c>
      <c r="F1745" s="605" t="s">
        <v>1005</v>
      </c>
      <c r="G1745" s="460" t="s">
        <v>881</v>
      </c>
      <c r="H1745" s="505" t="s">
        <v>375</v>
      </c>
      <c r="I1745" s="582" t="str">
        <f>VLOOKUP(H1745,'9a-Typen vloeren'!$A$10:$B$40,2,FALSE)</f>
        <v>n.v.t.</v>
      </c>
      <c r="J1745" s="607">
        <v>26.98</v>
      </c>
      <c r="K1745" s="433">
        <f t="shared" si="144"/>
        <v>0</v>
      </c>
      <c r="L1745" s="433">
        <f t="shared" si="145"/>
        <v>0</v>
      </c>
      <c r="M1745" s="433">
        <f t="shared" si="146"/>
        <v>0</v>
      </c>
      <c r="N1745" s="672"/>
      <c r="O1745" s="729">
        <f>IF(N1745="",0,N1745*K1745/'9b-Vloeronderhoud'!$F$4)</f>
        <v>0</v>
      </c>
      <c r="P1745" s="672"/>
      <c r="Q1745" s="729" t="e">
        <f>IF(O1745="",0,P1745*L1745/'9b-Vloeronderhoud'!$F$6)</f>
        <v>#DIV/0!</v>
      </c>
      <c r="R1745" s="449">
        <v>1</v>
      </c>
      <c r="S1745" s="675" t="s">
        <v>179</v>
      </c>
      <c r="T1745" s="161">
        <f t="shared" si="147"/>
        <v>0</v>
      </c>
      <c r="U1745" s="162">
        <f>IF(S1745="nio",0,IF(S1745&gt;0,VLOOKUP(G1745,'3-Productie normen'!A:K,VLOOKUP(S1745,'3-Productie normen'!L:N,3,FALSE),FALSE)))</f>
        <v>0</v>
      </c>
      <c r="V1745" s="162">
        <f>VLOOKUP(G1745,'3-Productie normen'!A:K,10,FALSE)</f>
        <v>5262.809993648526</v>
      </c>
      <c r="W1745" s="163">
        <f>VLOOKUP(G1745,'3-Productie normen'!A:K,11,FALSE)</f>
        <v>0</v>
      </c>
      <c r="X1745" s="163"/>
      <c r="Z1745" s="129">
        <f t="shared" si="148"/>
        <v>0</v>
      </c>
    </row>
    <row r="1746" spans="1:26" ht="14.1" customHeight="1">
      <c r="A1746" s="144">
        <v>1784</v>
      </c>
      <c r="B1746" s="605" t="s">
        <v>980</v>
      </c>
      <c r="C1746" s="605"/>
      <c r="D1746" s="606" t="s">
        <v>98</v>
      </c>
      <c r="E1746" s="721" t="s">
        <v>331</v>
      </c>
      <c r="F1746" s="605" t="s">
        <v>1006</v>
      </c>
      <c r="G1746" s="122" t="s">
        <v>881</v>
      </c>
      <c r="H1746" s="505" t="s">
        <v>375</v>
      </c>
      <c r="I1746" s="582" t="str">
        <f>VLOOKUP(H1746,'9a-Typen vloeren'!$A$10:$B$40,2,FALSE)</f>
        <v>n.v.t.</v>
      </c>
      <c r="J1746" s="607">
        <v>8.15</v>
      </c>
      <c r="K1746" s="433">
        <f t="shared" si="144"/>
        <v>0</v>
      </c>
      <c r="L1746" s="433">
        <f t="shared" si="145"/>
        <v>0</v>
      </c>
      <c r="M1746" s="433">
        <f t="shared" si="146"/>
        <v>0</v>
      </c>
      <c r="N1746" s="672"/>
      <c r="O1746" s="729">
        <f>IF(N1746="",0,N1746*K1746/'9b-Vloeronderhoud'!$F$4)</f>
        <v>0</v>
      </c>
      <c r="P1746" s="672"/>
      <c r="Q1746" s="729" t="e">
        <f>IF(O1746="",0,P1746*L1746/'9b-Vloeronderhoud'!$F$6)</f>
        <v>#DIV/0!</v>
      </c>
      <c r="R1746" s="449">
        <v>1</v>
      </c>
      <c r="S1746" s="675" t="s">
        <v>179</v>
      </c>
      <c r="T1746" s="161">
        <f t="shared" si="147"/>
        <v>0</v>
      </c>
      <c r="U1746" s="162">
        <f>IF(S1746="nio",0,IF(S1746&gt;0,VLOOKUP(G1746,'3-Productie normen'!A:K,VLOOKUP(S1746,'3-Productie normen'!L:N,3,FALSE),FALSE)))</f>
        <v>0</v>
      </c>
      <c r="V1746" s="162">
        <f>VLOOKUP(G1746,'3-Productie normen'!A:K,10,FALSE)</f>
        <v>5262.809993648526</v>
      </c>
      <c r="W1746" s="163">
        <f>VLOOKUP(G1746,'3-Productie normen'!A:K,11,FALSE)</f>
        <v>0</v>
      </c>
      <c r="X1746" s="163"/>
      <c r="Z1746" s="129">
        <f t="shared" si="148"/>
        <v>0</v>
      </c>
    </row>
    <row r="1747" spans="1:26" ht="14.1" customHeight="1">
      <c r="A1747" s="144">
        <v>1785</v>
      </c>
      <c r="B1747" s="605" t="s">
        <v>980</v>
      </c>
      <c r="C1747" s="605"/>
      <c r="D1747" s="606" t="s">
        <v>98</v>
      </c>
      <c r="E1747" s="721" t="s">
        <v>1007</v>
      </c>
      <c r="F1747" s="605" t="s">
        <v>1008</v>
      </c>
      <c r="G1747" s="122" t="s">
        <v>881</v>
      </c>
      <c r="H1747" s="505" t="s">
        <v>375</v>
      </c>
      <c r="I1747" s="582" t="str">
        <f>VLOOKUP(H1747,'9a-Typen vloeren'!$A$10:$B$40,2,FALSE)</f>
        <v>n.v.t.</v>
      </c>
      <c r="J1747" s="607">
        <v>2.66</v>
      </c>
      <c r="K1747" s="433">
        <f t="shared" si="144"/>
        <v>0</v>
      </c>
      <c r="L1747" s="433">
        <f t="shared" si="145"/>
        <v>0</v>
      </c>
      <c r="M1747" s="433">
        <f t="shared" si="146"/>
        <v>0</v>
      </c>
      <c r="N1747" s="672"/>
      <c r="O1747" s="729">
        <f>IF(N1747="",0,N1747*K1747/'9b-Vloeronderhoud'!$F$4)</f>
        <v>0</v>
      </c>
      <c r="P1747" s="672"/>
      <c r="Q1747" s="729" t="e">
        <f>IF(O1747="",0,P1747*L1747/'9b-Vloeronderhoud'!$F$6)</f>
        <v>#DIV/0!</v>
      </c>
      <c r="R1747" s="449">
        <v>1</v>
      </c>
      <c r="S1747" s="675" t="s">
        <v>179</v>
      </c>
      <c r="T1747" s="161">
        <f t="shared" si="147"/>
        <v>0</v>
      </c>
      <c r="U1747" s="162">
        <f>IF(S1747="nio",0,IF(S1747&gt;0,VLOOKUP(G1747,'3-Productie normen'!A:K,VLOOKUP(S1747,'3-Productie normen'!L:N,3,FALSE),FALSE)))</f>
        <v>0</v>
      </c>
      <c r="V1747" s="162">
        <f>VLOOKUP(G1747,'3-Productie normen'!A:K,10,FALSE)</f>
        <v>5262.809993648526</v>
      </c>
      <c r="W1747" s="163">
        <f>VLOOKUP(G1747,'3-Productie normen'!A:K,11,FALSE)</f>
        <v>0</v>
      </c>
      <c r="X1747" s="163"/>
      <c r="Z1747" s="129">
        <f t="shared" si="148"/>
        <v>0</v>
      </c>
    </row>
    <row r="1748" spans="1:26" ht="14.1" customHeight="1">
      <c r="A1748" s="144">
        <v>1786</v>
      </c>
      <c r="B1748" s="605" t="s">
        <v>980</v>
      </c>
      <c r="C1748" s="605"/>
      <c r="D1748" s="606" t="s">
        <v>98</v>
      </c>
      <c r="E1748" s="721" t="s">
        <v>1009</v>
      </c>
      <c r="F1748" s="605" t="s">
        <v>1010</v>
      </c>
      <c r="G1748" s="460" t="s">
        <v>881</v>
      </c>
      <c r="H1748" s="505" t="s">
        <v>375</v>
      </c>
      <c r="I1748" s="582" t="str">
        <f>VLOOKUP(H1748,'9a-Typen vloeren'!$A$10:$B$40,2,FALSE)</f>
        <v>n.v.t.</v>
      </c>
      <c r="J1748" s="607">
        <v>23.74</v>
      </c>
      <c r="K1748" s="433">
        <f t="shared" si="144"/>
        <v>0</v>
      </c>
      <c r="L1748" s="433">
        <f t="shared" si="145"/>
        <v>0</v>
      </c>
      <c r="M1748" s="433">
        <f t="shared" si="146"/>
        <v>0</v>
      </c>
      <c r="N1748" s="672"/>
      <c r="O1748" s="729">
        <f>IF(N1748="",0,N1748*K1748/'9b-Vloeronderhoud'!$F$4)</f>
        <v>0</v>
      </c>
      <c r="P1748" s="672"/>
      <c r="Q1748" s="729" t="e">
        <f>IF(O1748="",0,P1748*L1748/'9b-Vloeronderhoud'!$F$6)</f>
        <v>#DIV/0!</v>
      </c>
      <c r="R1748" s="449">
        <v>1</v>
      </c>
      <c r="S1748" s="675" t="s">
        <v>179</v>
      </c>
      <c r="T1748" s="161">
        <f t="shared" si="147"/>
        <v>0</v>
      </c>
      <c r="U1748" s="162">
        <f>IF(S1748="nio",0,IF(S1748&gt;0,VLOOKUP(G1748,'3-Productie normen'!A:K,VLOOKUP(S1748,'3-Productie normen'!L:N,3,FALSE),FALSE)))</f>
        <v>0</v>
      </c>
      <c r="V1748" s="162">
        <f>VLOOKUP(G1748,'3-Productie normen'!A:K,10,FALSE)</f>
        <v>5262.809993648526</v>
      </c>
      <c r="W1748" s="163">
        <f>VLOOKUP(G1748,'3-Productie normen'!A:K,11,FALSE)</f>
        <v>0</v>
      </c>
      <c r="X1748" s="163"/>
      <c r="Z1748" s="129">
        <f t="shared" si="148"/>
        <v>0</v>
      </c>
    </row>
    <row r="1749" spans="1:26" ht="14.1" customHeight="1">
      <c r="A1749" s="144">
        <v>1787</v>
      </c>
      <c r="B1749" s="605" t="s">
        <v>980</v>
      </c>
      <c r="C1749" s="609"/>
      <c r="D1749" s="606" t="s">
        <v>98</v>
      </c>
      <c r="E1749" s="721" t="s">
        <v>414</v>
      </c>
      <c r="F1749" s="609" t="s">
        <v>993</v>
      </c>
      <c r="G1749" s="122" t="s">
        <v>881</v>
      </c>
      <c r="H1749" s="505" t="s">
        <v>375</v>
      </c>
      <c r="I1749" s="582" t="str">
        <f>VLOOKUP(H1749,'9a-Typen vloeren'!$A$10:$B$40,2,FALSE)</f>
        <v>n.v.t.</v>
      </c>
      <c r="J1749" s="607">
        <v>4.2300000000000004</v>
      </c>
      <c r="K1749" s="433">
        <f t="shared" si="144"/>
        <v>0</v>
      </c>
      <c r="L1749" s="433">
        <f t="shared" si="145"/>
        <v>0</v>
      </c>
      <c r="M1749" s="433">
        <f t="shared" si="146"/>
        <v>0</v>
      </c>
      <c r="N1749" s="672"/>
      <c r="O1749" s="729">
        <f>IF(N1749="",0,N1749*K1749/'9b-Vloeronderhoud'!$F$4)</f>
        <v>0</v>
      </c>
      <c r="P1749" s="672"/>
      <c r="Q1749" s="729" t="e">
        <f>IF(O1749="",0,P1749*L1749/'9b-Vloeronderhoud'!$F$6)</f>
        <v>#DIV/0!</v>
      </c>
      <c r="R1749" s="449">
        <v>1</v>
      </c>
      <c r="S1749" s="675" t="s">
        <v>179</v>
      </c>
      <c r="T1749" s="161">
        <f t="shared" si="147"/>
        <v>0</v>
      </c>
      <c r="U1749" s="162">
        <f>IF(S1749="nio",0,IF(S1749&gt;0,VLOOKUP(G1749,'3-Productie normen'!A:K,VLOOKUP(S1749,'3-Productie normen'!L:N,3,FALSE),FALSE)))</f>
        <v>0</v>
      </c>
      <c r="V1749" s="162">
        <f>VLOOKUP(G1749,'3-Productie normen'!A:K,10,FALSE)</f>
        <v>5262.809993648526</v>
      </c>
      <c r="W1749" s="163">
        <f>VLOOKUP(G1749,'3-Productie normen'!A:K,11,FALSE)</f>
        <v>0</v>
      </c>
      <c r="X1749" s="163"/>
      <c r="Z1749" s="129">
        <f t="shared" si="148"/>
        <v>0</v>
      </c>
    </row>
    <row r="1750" spans="1:26" ht="14.1" customHeight="1">
      <c r="A1750" s="144">
        <v>1788</v>
      </c>
      <c r="B1750" s="605" t="s">
        <v>980</v>
      </c>
      <c r="C1750" s="609"/>
      <c r="D1750" s="606" t="s">
        <v>98</v>
      </c>
      <c r="E1750" s="721" t="s">
        <v>415</v>
      </c>
      <c r="F1750" s="609" t="s">
        <v>1011</v>
      </c>
      <c r="G1750" s="122" t="s">
        <v>881</v>
      </c>
      <c r="H1750" s="505" t="s">
        <v>375</v>
      </c>
      <c r="I1750" s="582" t="str">
        <f>VLOOKUP(H1750,'9a-Typen vloeren'!$A$10:$B$40,2,FALSE)</f>
        <v>n.v.t.</v>
      </c>
      <c r="J1750" s="607">
        <v>1.61</v>
      </c>
      <c r="K1750" s="433">
        <f t="shared" si="144"/>
        <v>0</v>
      </c>
      <c r="L1750" s="433">
        <f t="shared" si="145"/>
        <v>0</v>
      </c>
      <c r="M1750" s="433">
        <f t="shared" si="146"/>
        <v>0</v>
      </c>
      <c r="N1750" s="672"/>
      <c r="O1750" s="729">
        <f>IF(N1750="",0,N1750*K1750/'9b-Vloeronderhoud'!$F$4)</f>
        <v>0</v>
      </c>
      <c r="P1750" s="672"/>
      <c r="Q1750" s="729" t="e">
        <f>IF(O1750="",0,P1750*L1750/'9b-Vloeronderhoud'!$F$6)</f>
        <v>#DIV/0!</v>
      </c>
      <c r="R1750" s="449">
        <v>1</v>
      </c>
      <c r="S1750" s="675" t="s">
        <v>179</v>
      </c>
      <c r="T1750" s="161">
        <f t="shared" si="147"/>
        <v>0</v>
      </c>
      <c r="U1750" s="162">
        <f>IF(S1750="nio",0,IF(S1750&gt;0,VLOOKUP(G1750,'3-Productie normen'!A:K,VLOOKUP(S1750,'3-Productie normen'!L:N,3,FALSE),FALSE)))</f>
        <v>0</v>
      </c>
      <c r="V1750" s="162">
        <f>VLOOKUP(G1750,'3-Productie normen'!A:K,10,FALSE)</f>
        <v>5262.809993648526</v>
      </c>
      <c r="W1750" s="163">
        <f>VLOOKUP(G1750,'3-Productie normen'!A:K,11,FALSE)</f>
        <v>0</v>
      </c>
      <c r="X1750" s="163"/>
      <c r="Z1750" s="129">
        <f t="shared" si="148"/>
        <v>0</v>
      </c>
    </row>
    <row r="1751" spans="1:26" ht="14.1" customHeight="1">
      <c r="A1751" s="144">
        <v>1789</v>
      </c>
      <c r="B1751" s="605" t="s">
        <v>980</v>
      </c>
      <c r="C1751" s="609"/>
      <c r="D1751" s="606" t="s">
        <v>98</v>
      </c>
      <c r="E1751" s="721" t="s">
        <v>416</v>
      </c>
      <c r="F1751" s="609" t="s">
        <v>1012</v>
      </c>
      <c r="G1751" s="122" t="s">
        <v>881</v>
      </c>
      <c r="H1751" s="505" t="s">
        <v>375</v>
      </c>
      <c r="I1751" s="582" t="str">
        <f>VLOOKUP(H1751,'9a-Typen vloeren'!$A$10:$B$40,2,FALSE)</f>
        <v>n.v.t.</v>
      </c>
      <c r="J1751" s="607">
        <v>7.32</v>
      </c>
      <c r="K1751" s="433">
        <f t="shared" si="144"/>
        <v>0</v>
      </c>
      <c r="L1751" s="433">
        <f t="shared" si="145"/>
        <v>0</v>
      </c>
      <c r="M1751" s="433">
        <f t="shared" si="146"/>
        <v>0</v>
      </c>
      <c r="N1751" s="672"/>
      <c r="O1751" s="729">
        <f>IF(N1751="",0,N1751*K1751/'9b-Vloeronderhoud'!$F$4)</f>
        <v>0</v>
      </c>
      <c r="P1751" s="672"/>
      <c r="Q1751" s="729" t="e">
        <f>IF(O1751="",0,P1751*L1751/'9b-Vloeronderhoud'!$F$6)</f>
        <v>#DIV/0!</v>
      </c>
      <c r="R1751" s="449">
        <v>1</v>
      </c>
      <c r="S1751" s="675" t="s">
        <v>179</v>
      </c>
      <c r="T1751" s="161">
        <f t="shared" si="147"/>
        <v>0</v>
      </c>
      <c r="U1751" s="162">
        <f>IF(S1751="nio",0,IF(S1751&gt;0,VLOOKUP(G1751,'3-Productie normen'!A:K,VLOOKUP(S1751,'3-Productie normen'!L:N,3,FALSE),FALSE)))</f>
        <v>0</v>
      </c>
      <c r="V1751" s="162">
        <f>VLOOKUP(G1751,'3-Productie normen'!A:K,10,FALSE)</f>
        <v>5262.809993648526</v>
      </c>
      <c r="W1751" s="163">
        <f>VLOOKUP(G1751,'3-Productie normen'!A:K,11,FALSE)</f>
        <v>0</v>
      </c>
      <c r="X1751" s="163"/>
      <c r="Z1751" s="129">
        <f t="shared" si="148"/>
        <v>0</v>
      </c>
    </row>
    <row r="1752" spans="1:26" ht="14.1" customHeight="1">
      <c r="A1752" s="144">
        <v>1790</v>
      </c>
      <c r="B1752" s="605" t="s">
        <v>980</v>
      </c>
      <c r="C1752" s="609"/>
      <c r="D1752" s="606" t="s">
        <v>98</v>
      </c>
      <c r="E1752" s="721" t="s">
        <v>417</v>
      </c>
      <c r="F1752" s="609" t="s">
        <v>1013</v>
      </c>
      <c r="G1752" s="122" t="s">
        <v>881</v>
      </c>
      <c r="H1752" s="505" t="s">
        <v>375</v>
      </c>
      <c r="I1752" s="582" t="str">
        <f>VLOOKUP(H1752,'9a-Typen vloeren'!$A$10:$B$40,2,FALSE)</f>
        <v>n.v.t.</v>
      </c>
      <c r="J1752" s="607">
        <v>7.08</v>
      </c>
      <c r="K1752" s="433">
        <f t="shared" si="144"/>
        <v>0</v>
      </c>
      <c r="L1752" s="433">
        <f t="shared" si="145"/>
        <v>0</v>
      </c>
      <c r="M1752" s="433">
        <f t="shared" si="146"/>
        <v>0</v>
      </c>
      <c r="N1752" s="672"/>
      <c r="O1752" s="729">
        <f>IF(N1752="",0,N1752*K1752/'9b-Vloeronderhoud'!$F$4)</f>
        <v>0</v>
      </c>
      <c r="P1752" s="672"/>
      <c r="Q1752" s="729" t="e">
        <f>IF(O1752="",0,P1752*L1752/'9b-Vloeronderhoud'!$F$6)</f>
        <v>#DIV/0!</v>
      </c>
      <c r="R1752" s="449">
        <v>1</v>
      </c>
      <c r="S1752" s="675" t="s">
        <v>179</v>
      </c>
      <c r="T1752" s="161">
        <f t="shared" si="147"/>
        <v>0</v>
      </c>
      <c r="U1752" s="162">
        <f>IF(S1752="nio",0,IF(S1752&gt;0,VLOOKUP(G1752,'3-Productie normen'!A:K,VLOOKUP(S1752,'3-Productie normen'!L:N,3,FALSE),FALSE)))</f>
        <v>0</v>
      </c>
      <c r="V1752" s="162">
        <f>VLOOKUP(G1752,'3-Productie normen'!A:K,10,FALSE)</f>
        <v>5262.809993648526</v>
      </c>
      <c r="W1752" s="163">
        <f>VLOOKUP(G1752,'3-Productie normen'!A:K,11,FALSE)</f>
        <v>0</v>
      </c>
      <c r="X1752" s="163"/>
      <c r="Z1752" s="129">
        <f t="shared" si="148"/>
        <v>0</v>
      </c>
    </row>
    <row r="1753" spans="1:26" ht="14.1" customHeight="1">
      <c r="A1753" s="144">
        <v>1791</v>
      </c>
      <c r="B1753" s="605" t="s">
        <v>980</v>
      </c>
      <c r="C1753" s="609"/>
      <c r="D1753" s="606" t="s">
        <v>98</v>
      </c>
      <c r="E1753" s="721" t="s">
        <v>418</v>
      </c>
      <c r="F1753" s="609" t="s">
        <v>1014</v>
      </c>
      <c r="G1753" s="460" t="s">
        <v>881</v>
      </c>
      <c r="H1753" s="505" t="s">
        <v>375</v>
      </c>
      <c r="I1753" s="582" t="str">
        <f>VLOOKUP(H1753,'9a-Typen vloeren'!$A$10:$B$40,2,FALSE)</f>
        <v>n.v.t.</v>
      </c>
      <c r="J1753" s="607">
        <v>12.33</v>
      </c>
      <c r="K1753" s="433">
        <f t="shared" si="144"/>
        <v>0</v>
      </c>
      <c r="L1753" s="433">
        <f t="shared" si="145"/>
        <v>0</v>
      </c>
      <c r="M1753" s="433">
        <f t="shared" si="146"/>
        <v>0</v>
      </c>
      <c r="N1753" s="672"/>
      <c r="O1753" s="729">
        <f>IF(N1753="",0,N1753*K1753/'9b-Vloeronderhoud'!$F$4)</f>
        <v>0</v>
      </c>
      <c r="P1753" s="672"/>
      <c r="Q1753" s="729" t="e">
        <f>IF(O1753="",0,P1753*L1753/'9b-Vloeronderhoud'!$F$6)</f>
        <v>#DIV/0!</v>
      </c>
      <c r="R1753" s="449">
        <v>1</v>
      </c>
      <c r="S1753" s="675" t="s">
        <v>179</v>
      </c>
      <c r="T1753" s="161">
        <f t="shared" si="147"/>
        <v>0</v>
      </c>
      <c r="U1753" s="162">
        <f>IF(S1753="nio",0,IF(S1753&gt;0,VLOOKUP(G1753,'3-Productie normen'!A:K,VLOOKUP(S1753,'3-Productie normen'!L:N,3,FALSE),FALSE)))</f>
        <v>0</v>
      </c>
      <c r="V1753" s="162">
        <f>VLOOKUP(G1753,'3-Productie normen'!A:K,10,FALSE)</f>
        <v>5262.809993648526</v>
      </c>
      <c r="W1753" s="163">
        <f>VLOOKUP(G1753,'3-Productie normen'!A:K,11,FALSE)</f>
        <v>0</v>
      </c>
      <c r="X1753" s="163"/>
      <c r="Z1753" s="129">
        <f t="shared" si="148"/>
        <v>0</v>
      </c>
    </row>
    <row r="1754" spans="1:26" ht="14.1" customHeight="1">
      <c r="A1754" s="144">
        <v>1792</v>
      </c>
      <c r="B1754" s="605" t="s">
        <v>980</v>
      </c>
      <c r="C1754" s="609"/>
      <c r="D1754" s="606" t="s">
        <v>98</v>
      </c>
      <c r="E1754" s="721" t="s">
        <v>521</v>
      </c>
      <c r="F1754" s="609" t="s">
        <v>1014</v>
      </c>
      <c r="G1754" s="460" t="s">
        <v>881</v>
      </c>
      <c r="H1754" s="505" t="s">
        <v>375</v>
      </c>
      <c r="I1754" s="582" t="str">
        <f>VLOOKUP(H1754,'9a-Typen vloeren'!$A$10:$B$40,2,FALSE)</f>
        <v>n.v.t.</v>
      </c>
      <c r="J1754" s="607">
        <v>12.56</v>
      </c>
      <c r="K1754" s="433">
        <f t="shared" si="144"/>
        <v>0</v>
      </c>
      <c r="L1754" s="433">
        <f t="shared" si="145"/>
        <v>0</v>
      </c>
      <c r="M1754" s="433">
        <f t="shared" si="146"/>
        <v>0</v>
      </c>
      <c r="N1754" s="672"/>
      <c r="O1754" s="729">
        <f>IF(N1754="",0,N1754*K1754/'9b-Vloeronderhoud'!$F$4)</f>
        <v>0</v>
      </c>
      <c r="P1754" s="672"/>
      <c r="Q1754" s="729" t="e">
        <f>IF(O1754="",0,P1754*L1754/'9b-Vloeronderhoud'!$F$6)</f>
        <v>#DIV/0!</v>
      </c>
      <c r="R1754" s="449">
        <v>1</v>
      </c>
      <c r="S1754" s="675" t="s">
        <v>179</v>
      </c>
      <c r="T1754" s="161">
        <f t="shared" si="147"/>
        <v>0</v>
      </c>
      <c r="U1754" s="162">
        <f>IF(S1754="nio",0,IF(S1754&gt;0,VLOOKUP(G1754,'3-Productie normen'!A:K,VLOOKUP(S1754,'3-Productie normen'!L:N,3,FALSE),FALSE)))</f>
        <v>0</v>
      </c>
      <c r="V1754" s="162">
        <f>VLOOKUP(G1754,'3-Productie normen'!A:K,10,FALSE)</f>
        <v>5262.809993648526</v>
      </c>
      <c r="W1754" s="163">
        <f>VLOOKUP(G1754,'3-Productie normen'!A:K,11,FALSE)</f>
        <v>0</v>
      </c>
      <c r="X1754" s="163"/>
      <c r="Z1754" s="129">
        <f t="shared" si="148"/>
        <v>0</v>
      </c>
    </row>
    <row r="1755" spans="1:26" ht="14.1" customHeight="1">
      <c r="A1755" s="144">
        <v>1793</v>
      </c>
      <c r="B1755" s="605" t="s">
        <v>980</v>
      </c>
      <c r="C1755" s="609"/>
      <c r="D1755" s="606" t="s">
        <v>98</v>
      </c>
      <c r="E1755" s="721" t="s">
        <v>522</v>
      </c>
      <c r="F1755" s="609" t="s">
        <v>1015</v>
      </c>
      <c r="G1755" s="122" t="s">
        <v>881</v>
      </c>
      <c r="H1755" s="505" t="s">
        <v>375</v>
      </c>
      <c r="I1755" s="582" t="str">
        <f>VLOOKUP(H1755,'9a-Typen vloeren'!$A$10:$B$40,2,FALSE)</f>
        <v>n.v.t.</v>
      </c>
      <c r="J1755" s="607">
        <v>64.739999999999995</v>
      </c>
      <c r="K1755" s="433">
        <f t="shared" si="144"/>
        <v>0</v>
      </c>
      <c r="L1755" s="433">
        <f t="shared" si="145"/>
        <v>0</v>
      </c>
      <c r="M1755" s="433">
        <f t="shared" si="146"/>
        <v>0</v>
      </c>
      <c r="N1755" s="672"/>
      <c r="O1755" s="729">
        <f>IF(N1755="",0,N1755*K1755/'9b-Vloeronderhoud'!$F$4)</f>
        <v>0</v>
      </c>
      <c r="P1755" s="672"/>
      <c r="Q1755" s="729" t="e">
        <f>IF(O1755="",0,P1755*L1755/'9b-Vloeronderhoud'!$F$6)</f>
        <v>#DIV/0!</v>
      </c>
      <c r="R1755" s="449">
        <v>1</v>
      </c>
      <c r="S1755" s="675" t="s">
        <v>179</v>
      </c>
      <c r="T1755" s="161">
        <f t="shared" si="147"/>
        <v>0</v>
      </c>
      <c r="U1755" s="162">
        <f>IF(S1755="nio",0,IF(S1755&gt;0,VLOOKUP(G1755,'3-Productie normen'!A:K,VLOOKUP(S1755,'3-Productie normen'!L:N,3,FALSE),FALSE)))</f>
        <v>0</v>
      </c>
      <c r="V1755" s="162">
        <f>VLOOKUP(G1755,'3-Productie normen'!A:K,10,FALSE)</f>
        <v>5262.809993648526</v>
      </c>
      <c r="W1755" s="163">
        <f>VLOOKUP(G1755,'3-Productie normen'!A:K,11,FALSE)</f>
        <v>0</v>
      </c>
      <c r="X1755" s="163"/>
      <c r="Z1755" s="129">
        <f t="shared" si="148"/>
        <v>0</v>
      </c>
    </row>
    <row r="1756" spans="1:26" ht="14.1" customHeight="1">
      <c r="A1756" s="144">
        <v>1794</v>
      </c>
      <c r="B1756" s="605" t="s">
        <v>980</v>
      </c>
      <c r="C1756" s="609"/>
      <c r="D1756" s="606" t="s">
        <v>98</v>
      </c>
      <c r="E1756" s="721" t="s">
        <v>523</v>
      </c>
      <c r="F1756" s="609" t="s">
        <v>1016</v>
      </c>
      <c r="G1756" s="122" t="s">
        <v>881</v>
      </c>
      <c r="H1756" s="505" t="s">
        <v>375</v>
      </c>
      <c r="I1756" s="582" t="str">
        <f>VLOOKUP(H1756,'9a-Typen vloeren'!$A$10:$B$40,2,FALSE)</f>
        <v>n.v.t.</v>
      </c>
      <c r="J1756" s="607">
        <v>12.25</v>
      </c>
      <c r="K1756" s="433">
        <f t="shared" si="144"/>
        <v>0</v>
      </c>
      <c r="L1756" s="433">
        <f t="shared" si="145"/>
        <v>0</v>
      </c>
      <c r="M1756" s="433">
        <f t="shared" si="146"/>
        <v>0</v>
      </c>
      <c r="N1756" s="672"/>
      <c r="O1756" s="729">
        <f>IF(N1756="",0,N1756*K1756/'9b-Vloeronderhoud'!$F$4)</f>
        <v>0</v>
      </c>
      <c r="P1756" s="672"/>
      <c r="Q1756" s="729" t="e">
        <f>IF(O1756="",0,P1756*L1756/'9b-Vloeronderhoud'!$F$6)</f>
        <v>#DIV/0!</v>
      </c>
      <c r="R1756" s="449">
        <v>1</v>
      </c>
      <c r="S1756" s="675" t="s">
        <v>179</v>
      </c>
      <c r="T1756" s="161">
        <f t="shared" si="147"/>
        <v>0</v>
      </c>
      <c r="U1756" s="162">
        <f>IF(S1756="nio",0,IF(S1756&gt;0,VLOOKUP(G1756,'3-Productie normen'!A:K,VLOOKUP(S1756,'3-Productie normen'!L:N,3,FALSE),FALSE)))</f>
        <v>0</v>
      </c>
      <c r="V1756" s="162">
        <f>VLOOKUP(G1756,'3-Productie normen'!A:K,10,FALSE)</f>
        <v>5262.809993648526</v>
      </c>
      <c r="W1756" s="163">
        <f>VLOOKUP(G1756,'3-Productie normen'!A:K,11,FALSE)</f>
        <v>0</v>
      </c>
      <c r="X1756" s="163"/>
      <c r="Z1756" s="129">
        <f t="shared" si="148"/>
        <v>0</v>
      </c>
    </row>
    <row r="1757" spans="1:26" ht="14.1" customHeight="1">
      <c r="A1757" s="144">
        <v>1795</v>
      </c>
      <c r="B1757" s="605" t="s">
        <v>980</v>
      </c>
      <c r="C1757" s="609"/>
      <c r="D1757" s="606" t="s">
        <v>98</v>
      </c>
      <c r="E1757" s="721" t="s">
        <v>524</v>
      </c>
      <c r="F1757" s="609" t="s">
        <v>1017</v>
      </c>
      <c r="G1757" s="502" t="s">
        <v>881</v>
      </c>
      <c r="H1757" s="505" t="s">
        <v>375</v>
      </c>
      <c r="I1757" s="582" t="str">
        <f>VLOOKUP(H1757,'9a-Typen vloeren'!$A$10:$B$40,2,FALSE)</f>
        <v>n.v.t.</v>
      </c>
      <c r="J1757" s="607">
        <v>69.84</v>
      </c>
      <c r="K1757" s="433">
        <f t="shared" si="144"/>
        <v>0</v>
      </c>
      <c r="L1757" s="433">
        <f t="shared" si="145"/>
        <v>0</v>
      </c>
      <c r="M1757" s="433">
        <f t="shared" si="146"/>
        <v>0</v>
      </c>
      <c r="N1757" s="672"/>
      <c r="O1757" s="729">
        <f>IF(N1757="",0,N1757*K1757/'9b-Vloeronderhoud'!$F$4)</f>
        <v>0</v>
      </c>
      <c r="P1757" s="672"/>
      <c r="Q1757" s="729" t="e">
        <f>IF(O1757="",0,P1757*L1757/'9b-Vloeronderhoud'!$F$6)</f>
        <v>#DIV/0!</v>
      </c>
      <c r="R1757" s="449">
        <v>1</v>
      </c>
      <c r="S1757" s="675" t="s">
        <v>179</v>
      </c>
      <c r="T1757" s="161">
        <f t="shared" si="147"/>
        <v>0</v>
      </c>
      <c r="U1757" s="162">
        <f>IF(S1757="nio",0,IF(S1757&gt;0,VLOOKUP(G1757,'3-Productie normen'!A:K,VLOOKUP(S1757,'3-Productie normen'!L:N,3,FALSE),FALSE)))</f>
        <v>0</v>
      </c>
      <c r="V1757" s="162">
        <f>VLOOKUP(G1757,'3-Productie normen'!A:K,10,FALSE)</f>
        <v>5262.809993648526</v>
      </c>
      <c r="W1757" s="163">
        <f>VLOOKUP(G1757,'3-Productie normen'!A:K,11,FALSE)</f>
        <v>0</v>
      </c>
      <c r="X1757" s="163"/>
      <c r="Z1757" s="129">
        <f t="shared" si="148"/>
        <v>0</v>
      </c>
    </row>
    <row r="1758" spans="1:26" ht="14.1" customHeight="1">
      <c r="A1758" s="144">
        <v>1796</v>
      </c>
      <c r="B1758" s="605" t="s">
        <v>980</v>
      </c>
      <c r="C1758" s="609"/>
      <c r="D1758" s="606" t="s">
        <v>98</v>
      </c>
      <c r="E1758" s="721" t="s">
        <v>538</v>
      </c>
      <c r="F1758" s="609" t="s">
        <v>1018</v>
      </c>
      <c r="G1758" s="122" t="s">
        <v>99</v>
      </c>
      <c r="H1758" s="505" t="s">
        <v>375</v>
      </c>
      <c r="I1758" s="582" t="str">
        <f>VLOOKUP(H1758,'9a-Typen vloeren'!$A$10:$B$40,2,FALSE)</f>
        <v>n.v.t.</v>
      </c>
      <c r="J1758" s="607">
        <v>6.81</v>
      </c>
      <c r="K1758" s="433">
        <f t="shared" si="144"/>
        <v>0</v>
      </c>
      <c r="L1758" s="433">
        <f t="shared" si="145"/>
        <v>0</v>
      </c>
      <c r="M1758" s="433">
        <f t="shared" si="146"/>
        <v>0</v>
      </c>
      <c r="N1758" s="672"/>
      <c r="O1758" s="729">
        <f>IF(N1758="",0,N1758*K1758/'9b-Vloeronderhoud'!$F$4)</f>
        <v>0</v>
      </c>
      <c r="P1758" s="672"/>
      <c r="Q1758" s="729" t="e">
        <f>IF(O1758="",0,P1758*L1758/'9b-Vloeronderhoud'!$F$6)</f>
        <v>#DIV/0!</v>
      </c>
      <c r="R1758" s="449">
        <v>1</v>
      </c>
      <c r="S1758" s="675">
        <v>190</v>
      </c>
      <c r="T1758" s="161" t="e">
        <f t="shared" si="147"/>
        <v>#DIV/0!</v>
      </c>
      <c r="U1758" s="162">
        <f>IF(S1758="nio",0,IF(S1758&gt;0,VLOOKUP(G1758,'3-Productie normen'!A:K,VLOOKUP(S1758,'3-Productie normen'!L:N,3,FALSE),FALSE)))</f>
        <v>0</v>
      </c>
      <c r="V1758" s="162">
        <f>VLOOKUP(G1758,'3-Productie normen'!A:K,10,FALSE)</f>
        <v>726.97999910354622</v>
      </c>
      <c r="W1758" s="163">
        <f>VLOOKUP(G1758,'3-Productie normen'!A:K,11,FALSE)</f>
        <v>0</v>
      </c>
      <c r="X1758" s="163"/>
      <c r="Z1758" s="129">
        <f t="shared" si="148"/>
        <v>1293.8999999999999</v>
      </c>
    </row>
    <row r="1759" spans="1:26" ht="14.1" customHeight="1">
      <c r="A1759" s="144">
        <v>1797</v>
      </c>
      <c r="B1759" s="605" t="s">
        <v>980</v>
      </c>
      <c r="C1759" s="609"/>
      <c r="D1759" s="606" t="s">
        <v>98</v>
      </c>
      <c r="E1759" s="721" t="s">
        <v>525</v>
      </c>
      <c r="F1759" s="609" t="s">
        <v>1019</v>
      </c>
      <c r="G1759" s="122" t="s">
        <v>881</v>
      </c>
      <c r="H1759" s="505" t="s">
        <v>375</v>
      </c>
      <c r="I1759" s="582" t="str">
        <f>VLOOKUP(H1759,'9a-Typen vloeren'!$A$10:$B$40,2,FALSE)</f>
        <v>n.v.t.</v>
      </c>
      <c r="J1759" s="607">
        <v>5.48</v>
      </c>
      <c r="K1759" s="433">
        <f t="shared" si="144"/>
        <v>0</v>
      </c>
      <c r="L1759" s="433">
        <f t="shared" si="145"/>
        <v>0</v>
      </c>
      <c r="M1759" s="433">
        <f t="shared" si="146"/>
        <v>0</v>
      </c>
      <c r="N1759" s="672"/>
      <c r="O1759" s="729">
        <f>IF(N1759="",0,N1759*K1759/'9b-Vloeronderhoud'!$F$4)</f>
        <v>0</v>
      </c>
      <c r="P1759" s="672"/>
      <c r="Q1759" s="729" t="e">
        <f>IF(O1759="",0,P1759*L1759/'9b-Vloeronderhoud'!$F$6)</f>
        <v>#DIV/0!</v>
      </c>
      <c r="R1759" s="449">
        <v>1</v>
      </c>
      <c r="S1759" s="675" t="s">
        <v>179</v>
      </c>
      <c r="T1759" s="161">
        <f t="shared" si="147"/>
        <v>0</v>
      </c>
      <c r="U1759" s="162">
        <f>IF(S1759="nio",0,IF(S1759&gt;0,VLOOKUP(G1759,'3-Productie normen'!A:K,VLOOKUP(S1759,'3-Productie normen'!L:N,3,FALSE),FALSE)))</f>
        <v>0</v>
      </c>
      <c r="V1759" s="162">
        <f>VLOOKUP(G1759,'3-Productie normen'!A:K,10,FALSE)</f>
        <v>5262.809993648526</v>
      </c>
      <c r="W1759" s="163">
        <f>VLOOKUP(G1759,'3-Productie normen'!A:K,11,FALSE)</f>
        <v>0</v>
      </c>
      <c r="X1759" s="163"/>
      <c r="Z1759" s="129">
        <f t="shared" si="148"/>
        <v>0</v>
      </c>
    </row>
    <row r="1760" spans="1:26" ht="14.1" customHeight="1">
      <c r="A1760" s="144">
        <v>1798</v>
      </c>
      <c r="B1760" s="605" t="s">
        <v>980</v>
      </c>
      <c r="C1760" s="609"/>
      <c r="D1760" s="606" t="s">
        <v>98</v>
      </c>
      <c r="E1760" s="721" t="s">
        <v>539</v>
      </c>
      <c r="F1760" s="609" t="s">
        <v>1020</v>
      </c>
      <c r="G1760" s="122" t="s">
        <v>881</v>
      </c>
      <c r="H1760" s="505" t="s">
        <v>375</v>
      </c>
      <c r="I1760" s="582" t="str">
        <f>VLOOKUP(H1760,'9a-Typen vloeren'!$A$10:$B$40,2,FALSE)</f>
        <v>n.v.t.</v>
      </c>
      <c r="J1760" s="607">
        <v>41.25</v>
      </c>
      <c r="K1760" s="433">
        <f t="shared" si="144"/>
        <v>0</v>
      </c>
      <c r="L1760" s="433">
        <f t="shared" si="145"/>
        <v>0</v>
      </c>
      <c r="M1760" s="433">
        <f t="shared" si="146"/>
        <v>0</v>
      </c>
      <c r="N1760" s="672"/>
      <c r="O1760" s="729">
        <f>IF(N1760="",0,N1760*K1760/'9b-Vloeronderhoud'!$F$4)</f>
        <v>0</v>
      </c>
      <c r="P1760" s="672"/>
      <c r="Q1760" s="729" t="e">
        <f>IF(O1760="",0,P1760*L1760/'9b-Vloeronderhoud'!$F$6)</f>
        <v>#DIV/0!</v>
      </c>
      <c r="R1760" s="449">
        <v>1</v>
      </c>
      <c r="S1760" s="675" t="s">
        <v>179</v>
      </c>
      <c r="T1760" s="161">
        <f t="shared" si="147"/>
        <v>0</v>
      </c>
      <c r="U1760" s="162">
        <f>IF(S1760="nio",0,IF(S1760&gt;0,VLOOKUP(G1760,'3-Productie normen'!A:K,VLOOKUP(S1760,'3-Productie normen'!L:N,3,FALSE),FALSE)))</f>
        <v>0</v>
      </c>
      <c r="V1760" s="162">
        <f>VLOOKUP(G1760,'3-Productie normen'!A:K,10,FALSE)</f>
        <v>5262.809993648526</v>
      </c>
      <c r="W1760" s="163">
        <f>VLOOKUP(G1760,'3-Productie normen'!A:K,11,FALSE)</f>
        <v>0</v>
      </c>
      <c r="X1760" s="163"/>
      <c r="Z1760" s="129">
        <f t="shared" si="148"/>
        <v>0</v>
      </c>
    </row>
    <row r="1761" spans="1:26" ht="14.1" customHeight="1">
      <c r="A1761" s="144">
        <v>1799</v>
      </c>
      <c r="B1761" s="605" t="s">
        <v>980</v>
      </c>
      <c r="C1761" s="609"/>
      <c r="D1761" s="606" t="s">
        <v>98</v>
      </c>
      <c r="E1761" s="721" t="s">
        <v>527</v>
      </c>
      <c r="F1761" s="609" t="s">
        <v>1021</v>
      </c>
      <c r="G1761" s="122" t="s">
        <v>881</v>
      </c>
      <c r="H1761" s="505" t="s">
        <v>375</v>
      </c>
      <c r="I1761" s="582" t="str">
        <f>VLOOKUP(H1761,'9a-Typen vloeren'!$A$10:$B$40,2,FALSE)</f>
        <v>n.v.t.</v>
      </c>
      <c r="J1761" s="607">
        <v>20.29</v>
      </c>
      <c r="K1761" s="433">
        <f t="shared" si="144"/>
        <v>0</v>
      </c>
      <c r="L1761" s="433">
        <f t="shared" si="145"/>
        <v>0</v>
      </c>
      <c r="M1761" s="433">
        <f t="shared" si="146"/>
        <v>0</v>
      </c>
      <c r="N1761" s="672"/>
      <c r="O1761" s="729">
        <f>IF(N1761="",0,N1761*K1761/'9b-Vloeronderhoud'!$F$4)</f>
        <v>0</v>
      </c>
      <c r="P1761" s="672"/>
      <c r="Q1761" s="729" t="e">
        <f>IF(O1761="",0,P1761*L1761/'9b-Vloeronderhoud'!$F$6)</f>
        <v>#DIV/0!</v>
      </c>
      <c r="R1761" s="449">
        <v>1</v>
      </c>
      <c r="S1761" s="675" t="s">
        <v>179</v>
      </c>
      <c r="T1761" s="161">
        <f t="shared" si="147"/>
        <v>0</v>
      </c>
      <c r="U1761" s="162">
        <f>IF(S1761="nio",0,IF(S1761&gt;0,VLOOKUP(G1761,'3-Productie normen'!A:K,VLOOKUP(S1761,'3-Productie normen'!L:N,3,FALSE),FALSE)))</f>
        <v>0</v>
      </c>
      <c r="V1761" s="162">
        <f>VLOOKUP(G1761,'3-Productie normen'!A:K,10,FALSE)</f>
        <v>5262.809993648526</v>
      </c>
      <c r="W1761" s="163">
        <f>VLOOKUP(G1761,'3-Productie normen'!A:K,11,FALSE)</f>
        <v>0</v>
      </c>
      <c r="X1761" s="163"/>
      <c r="Z1761" s="129">
        <f t="shared" si="148"/>
        <v>0</v>
      </c>
    </row>
    <row r="1762" spans="1:26" ht="14.1" customHeight="1">
      <c r="A1762" s="144">
        <v>1800</v>
      </c>
      <c r="B1762" s="605" t="s">
        <v>980</v>
      </c>
      <c r="C1762" s="609"/>
      <c r="D1762" s="606" t="s">
        <v>98</v>
      </c>
      <c r="E1762" s="721" t="s">
        <v>528</v>
      </c>
      <c r="F1762" s="609" t="s">
        <v>1000</v>
      </c>
      <c r="G1762" s="460" t="s">
        <v>881</v>
      </c>
      <c r="H1762" s="505" t="s">
        <v>375</v>
      </c>
      <c r="I1762" s="582" t="str">
        <f>VLOOKUP(H1762,'9a-Typen vloeren'!$A$10:$B$40,2,FALSE)</f>
        <v>n.v.t.</v>
      </c>
      <c r="J1762" s="607">
        <v>10.33</v>
      </c>
      <c r="K1762" s="433">
        <f t="shared" si="144"/>
        <v>0</v>
      </c>
      <c r="L1762" s="433">
        <f t="shared" si="145"/>
        <v>0</v>
      </c>
      <c r="M1762" s="433">
        <f t="shared" si="146"/>
        <v>0</v>
      </c>
      <c r="N1762" s="672"/>
      <c r="O1762" s="729">
        <f>IF(N1762="",0,N1762*K1762/'9b-Vloeronderhoud'!$F$4)</f>
        <v>0</v>
      </c>
      <c r="P1762" s="672"/>
      <c r="Q1762" s="729" t="e">
        <f>IF(O1762="",0,P1762*L1762/'9b-Vloeronderhoud'!$F$6)</f>
        <v>#DIV/0!</v>
      </c>
      <c r="R1762" s="449">
        <v>1</v>
      </c>
      <c r="S1762" s="675" t="s">
        <v>179</v>
      </c>
      <c r="T1762" s="161">
        <f t="shared" si="147"/>
        <v>0</v>
      </c>
      <c r="U1762" s="162">
        <f>IF(S1762="nio",0,IF(S1762&gt;0,VLOOKUP(G1762,'3-Productie normen'!A:K,VLOOKUP(S1762,'3-Productie normen'!L:N,3,FALSE),FALSE)))</f>
        <v>0</v>
      </c>
      <c r="V1762" s="162">
        <f>VLOOKUP(G1762,'3-Productie normen'!A:K,10,FALSE)</f>
        <v>5262.809993648526</v>
      </c>
      <c r="W1762" s="163">
        <f>VLOOKUP(G1762,'3-Productie normen'!A:K,11,FALSE)</f>
        <v>0</v>
      </c>
      <c r="X1762" s="163"/>
      <c r="Z1762" s="129">
        <f t="shared" si="148"/>
        <v>0</v>
      </c>
    </row>
    <row r="1763" spans="1:26" ht="14.1" customHeight="1">
      <c r="A1763" s="144">
        <v>1801</v>
      </c>
      <c r="B1763" s="605" t="s">
        <v>980</v>
      </c>
      <c r="C1763" s="609"/>
      <c r="D1763" s="606" t="s">
        <v>98</v>
      </c>
      <c r="E1763" s="721" t="s">
        <v>509</v>
      </c>
      <c r="F1763" s="609" t="s">
        <v>1022</v>
      </c>
      <c r="G1763" s="122" t="s">
        <v>881</v>
      </c>
      <c r="H1763" s="505" t="s">
        <v>375</v>
      </c>
      <c r="I1763" s="582" t="str">
        <f>VLOOKUP(H1763,'9a-Typen vloeren'!$A$10:$B$40,2,FALSE)</f>
        <v>n.v.t.</v>
      </c>
      <c r="J1763" s="607">
        <v>43.45</v>
      </c>
      <c r="K1763" s="433">
        <f t="shared" si="144"/>
        <v>0</v>
      </c>
      <c r="L1763" s="433">
        <f t="shared" si="145"/>
        <v>0</v>
      </c>
      <c r="M1763" s="433">
        <f t="shared" si="146"/>
        <v>0</v>
      </c>
      <c r="N1763" s="672"/>
      <c r="O1763" s="729">
        <f>IF(N1763="",0,N1763*K1763/'9b-Vloeronderhoud'!$F$4)</f>
        <v>0</v>
      </c>
      <c r="P1763" s="672"/>
      <c r="Q1763" s="729" t="e">
        <f>IF(O1763="",0,P1763*L1763/'9b-Vloeronderhoud'!$F$6)</f>
        <v>#DIV/0!</v>
      </c>
      <c r="R1763" s="449">
        <v>1</v>
      </c>
      <c r="S1763" s="675" t="s">
        <v>179</v>
      </c>
      <c r="T1763" s="161">
        <f t="shared" si="147"/>
        <v>0</v>
      </c>
      <c r="U1763" s="162">
        <f>IF(S1763="nio",0,IF(S1763&gt;0,VLOOKUP(G1763,'3-Productie normen'!A:K,VLOOKUP(S1763,'3-Productie normen'!L:N,3,FALSE),FALSE)))</f>
        <v>0</v>
      </c>
      <c r="V1763" s="162">
        <f>VLOOKUP(G1763,'3-Productie normen'!A:K,10,FALSE)</f>
        <v>5262.809993648526</v>
      </c>
      <c r="W1763" s="163">
        <f>VLOOKUP(G1763,'3-Productie normen'!A:K,11,FALSE)</f>
        <v>0</v>
      </c>
      <c r="X1763" s="163"/>
      <c r="Z1763" s="129">
        <f t="shared" si="148"/>
        <v>0</v>
      </c>
    </row>
    <row r="1764" spans="1:26" ht="14.1" customHeight="1">
      <c r="A1764" s="144">
        <v>1802</v>
      </c>
      <c r="B1764" s="605" t="s">
        <v>980</v>
      </c>
      <c r="C1764" s="609"/>
      <c r="D1764" s="606" t="s">
        <v>98</v>
      </c>
      <c r="E1764" s="721" t="s">
        <v>479</v>
      </c>
      <c r="F1764" s="609" t="s">
        <v>1023</v>
      </c>
      <c r="G1764" s="122" t="s">
        <v>480</v>
      </c>
      <c r="H1764" s="505" t="s">
        <v>375</v>
      </c>
      <c r="I1764" s="582" t="str">
        <f>VLOOKUP(H1764,'9a-Typen vloeren'!$A$10:$B$40,2,FALSE)</f>
        <v>n.v.t.</v>
      </c>
      <c r="J1764" s="607">
        <v>2.7</v>
      </c>
      <c r="K1764" s="433">
        <f t="shared" si="144"/>
        <v>0</v>
      </c>
      <c r="L1764" s="433">
        <f t="shared" si="145"/>
        <v>0</v>
      </c>
      <c r="M1764" s="433">
        <f t="shared" si="146"/>
        <v>0</v>
      </c>
      <c r="N1764" s="672"/>
      <c r="O1764" s="729">
        <f>IF(N1764="",0,N1764*K1764/'9b-Vloeronderhoud'!$F$4)</f>
        <v>0</v>
      </c>
      <c r="P1764" s="672"/>
      <c r="Q1764" s="729" t="e">
        <f>IF(O1764="",0,P1764*L1764/'9b-Vloeronderhoud'!$F$6)</f>
        <v>#DIV/0!</v>
      </c>
      <c r="R1764" s="449">
        <v>1</v>
      </c>
      <c r="S1764" s="672">
        <v>40</v>
      </c>
      <c r="T1764" s="161" t="e">
        <f t="shared" si="147"/>
        <v>#DIV/0!</v>
      </c>
      <c r="U1764" s="162">
        <f>IF(S1764="nio",0,IF(S1764&gt;0,VLOOKUP(G1764,'3-Productie normen'!A:K,VLOOKUP(S1764,'3-Productie normen'!L:N,3,FALSE),FALSE)))</f>
        <v>0</v>
      </c>
      <c r="V1764" s="162">
        <f>VLOOKUP(G1764,'3-Productie normen'!A:K,10,FALSE)</f>
        <v>31.690000023841854</v>
      </c>
      <c r="W1764" s="163">
        <f>VLOOKUP(G1764,'3-Productie normen'!A:K,11,FALSE)</f>
        <v>0</v>
      </c>
      <c r="X1764" s="163"/>
      <c r="Z1764" s="129">
        <f t="shared" si="148"/>
        <v>108</v>
      </c>
    </row>
    <row r="1765" spans="1:26" ht="14.1" customHeight="1">
      <c r="A1765" s="144">
        <v>1803</v>
      </c>
      <c r="B1765" s="605" t="s">
        <v>980</v>
      </c>
      <c r="C1765" s="609"/>
      <c r="D1765" s="606" t="s">
        <v>98</v>
      </c>
      <c r="E1765" s="721" t="s">
        <v>482</v>
      </c>
      <c r="F1765" s="609" t="s">
        <v>997</v>
      </c>
      <c r="G1765" s="460" t="s">
        <v>881</v>
      </c>
      <c r="H1765" s="505" t="s">
        <v>375</v>
      </c>
      <c r="I1765" s="582" t="str">
        <f>VLOOKUP(H1765,'9a-Typen vloeren'!$A$10:$B$40,2,FALSE)</f>
        <v>n.v.t.</v>
      </c>
      <c r="J1765" s="607">
        <v>9.76</v>
      </c>
      <c r="K1765" s="433">
        <f t="shared" si="144"/>
        <v>0</v>
      </c>
      <c r="L1765" s="433">
        <f t="shared" si="145"/>
        <v>0</v>
      </c>
      <c r="M1765" s="433">
        <f t="shared" si="146"/>
        <v>0</v>
      </c>
      <c r="N1765" s="672"/>
      <c r="O1765" s="729">
        <f>IF(N1765="",0,N1765*K1765/'9b-Vloeronderhoud'!$F$4)</f>
        <v>0</v>
      </c>
      <c r="P1765" s="672"/>
      <c r="Q1765" s="729" t="e">
        <f>IF(O1765="",0,P1765*L1765/'9b-Vloeronderhoud'!$F$6)</f>
        <v>#DIV/0!</v>
      </c>
      <c r="R1765" s="449">
        <v>1</v>
      </c>
      <c r="S1765" s="675" t="s">
        <v>179</v>
      </c>
      <c r="T1765" s="161">
        <f t="shared" si="147"/>
        <v>0</v>
      </c>
      <c r="U1765" s="162">
        <f>IF(S1765="nio",0,IF(S1765&gt;0,VLOOKUP(G1765,'3-Productie normen'!A:K,VLOOKUP(S1765,'3-Productie normen'!L:N,3,FALSE),FALSE)))</f>
        <v>0</v>
      </c>
      <c r="V1765" s="162">
        <f>VLOOKUP(G1765,'3-Productie normen'!A:K,10,FALSE)</f>
        <v>5262.809993648526</v>
      </c>
      <c r="W1765" s="163">
        <f>VLOOKUP(G1765,'3-Productie normen'!A:K,11,FALSE)</f>
        <v>0</v>
      </c>
      <c r="X1765" s="163"/>
      <c r="Z1765" s="129">
        <f t="shared" si="148"/>
        <v>0</v>
      </c>
    </row>
    <row r="1766" spans="1:26" ht="14.1" customHeight="1">
      <c r="A1766" s="144">
        <v>1804</v>
      </c>
      <c r="B1766" s="605" t="s">
        <v>980</v>
      </c>
      <c r="C1766" s="609"/>
      <c r="D1766" s="606" t="s">
        <v>98</v>
      </c>
      <c r="E1766" s="721" t="s">
        <v>540</v>
      </c>
      <c r="F1766" s="609" t="s">
        <v>1024</v>
      </c>
      <c r="G1766" s="122" t="s">
        <v>18</v>
      </c>
      <c r="H1766" s="505" t="s">
        <v>375</v>
      </c>
      <c r="I1766" s="582" t="str">
        <f>VLOOKUP(H1766,'9a-Typen vloeren'!$A$10:$B$40,2,FALSE)</f>
        <v>n.v.t.</v>
      </c>
      <c r="J1766" s="607">
        <v>2.58</v>
      </c>
      <c r="K1766" s="433">
        <f t="shared" si="144"/>
        <v>0</v>
      </c>
      <c r="L1766" s="433">
        <f t="shared" si="145"/>
        <v>0</v>
      </c>
      <c r="M1766" s="433">
        <f t="shared" si="146"/>
        <v>0</v>
      </c>
      <c r="N1766" s="672"/>
      <c r="O1766" s="729">
        <f>IF(N1766="",0,N1766*K1766/'9b-Vloeronderhoud'!$F$4)</f>
        <v>0</v>
      </c>
      <c r="P1766" s="672"/>
      <c r="Q1766" s="729" t="e">
        <f>IF(O1766="",0,P1766*L1766/'9b-Vloeronderhoud'!$F$6)</f>
        <v>#DIV/0!</v>
      </c>
      <c r="R1766" s="449">
        <v>1</v>
      </c>
      <c r="S1766" s="675">
        <v>190</v>
      </c>
      <c r="T1766" s="161" t="e">
        <f t="shared" si="147"/>
        <v>#DIV/0!</v>
      </c>
      <c r="U1766" s="162">
        <f>IF(S1766="nio",0,IF(S1766&gt;0,VLOOKUP(G1766,'3-Productie normen'!A:K,VLOOKUP(S1766,'3-Productie normen'!L:N,3,FALSE),FALSE)))</f>
        <v>0</v>
      </c>
      <c r="V1766" s="162">
        <f>VLOOKUP(G1766,'3-Productie normen'!A:K,10,FALSE)</f>
        <v>1859.5880019121171</v>
      </c>
      <c r="W1766" s="163">
        <f>VLOOKUP(G1766,'3-Productie normen'!A:K,11,FALSE)</f>
        <v>0</v>
      </c>
      <c r="X1766" s="163"/>
      <c r="Z1766" s="129">
        <f t="shared" si="148"/>
        <v>490.2</v>
      </c>
    </row>
    <row r="1767" spans="1:26" ht="14.1" customHeight="1">
      <c r="A1767" s="144">
        <v>1805</v>
      </c>
      <c r="B1767" s="605" t="s">
        <v>980</v>
      </c>
      <c r="C1767" s="609"/>
      <c r="D1767" s="606" t="s">
        <v>98</v>
      </c>
      <c r="E1767" s="721" t="s">
        <v>541</v>
      </c>
      <c r="F1767" s="609" t="s">
        <v>1025</v>
      </c>
      <c r="G1767" s="122" t="s">
        <v>881</v>
      </c>
      <c r="H1767" s="505" t="s">
        <v>375</v>
      </c>
      <c r="I1767" s="582" t="str">
        <f>VLOOKUP(H1767,'9a-Typen vloeren'!$A$10:$B$40,2,FALSE)</f>
        <v>n.v.t.</v>
      </c>
      <c r="J1767" s="607">
        <v>6.68</v>
      </c>
      <c r="K1767" s="433">
        <f t="shared" si="144"/>
        <v>0</v>
      </c>
      <c r="L1767" s="433">
        <f t="shared" si="145"/>
        <v>0</v>
      </c>
      <c r="M1767" s="433">
        <f t="shared" si="146"/>
        <v>0</v>
      </c>
      <c r="N1767" s="672"/>
      <c r="O1767" s="729">
        <f>IF(N1767="",0,N1767*K1767/'9b-Vloeronderhoud'!$F$4)</f>
        <v>0</v>
      </c>
      <c r="P1767" s="672"/>
      <c r="Q1767" s="729" t="e">
        <f>IF(O1767="",0,P1767*L1767/'9b-Vloeronderhoud'!$F$6)</f>
        <v>#DIV/0!</v>
      </c>
      <c r="R1767" s="449">
        <v>1</v>
      </c>
      <c r="S1767" s="675" t="s">
        <v>179</v>
      </c>
      <c r="T1767" s="161">
        <f t="shared" si="147"/>
        <v>0</v>
      </c>
      <c r="U1767" s="162">
        <f>IF(S1767="nio",0,IF(S1767&gt;0,VLOOKUP(G1767,'3-Productie normen'!A:K,VLOOKUP(S1767,'3-Productie normen'!L:N,3,FALSE),FALSE)))</f>
        <v>0</v>
      </c>
      <c r="V1767" s="162">
        <f>VLOOKUP(G1767,'3-Productie normen'!A:K,10,FALSE)</f>
        <v>5262.809993648526</v>
      </c>
      <c r="W1767" s="163">
        <f>VLOOKUP(G1767,'3-Productie normen'!A:K,11,FALSE)</f>
        <v>0</v>
      </c>
      <c r="X1767" s="163"/>
      <c r="Z1767" s="129">
        <f t="shared" si="148"/>
        <v>0</v>
      </c>
    </row>
    <row r="1768" spans="1:26" ht="14.1" customHeight="1">
      <c r="A1768" s="144">
        <v>1806</v>
      </c>
      <c r="B1768" s="605" t="s">
        <v>980</v>
      </c>
      <c r="C1768" s="609"/>
      <c r="D1768" s="606" t="s">
        <v>98</v>
      </c>
      <c r="E1768" s="721" t="s">
        <v>473</v>
      </c>
      <c r="F1768" s="609" t="s">
        <v>1026</v>
      </c>
      <c r="G1768" s="122" t="s">
        <v>99</v>
      </c>
      <c r="H1768" s="505" t="s">
        <v>375</v>
      </c>
      <c r="I1768" s="582" t="str">
        <f>VLOOKUP(H1768,'9a-Typen vloeren'!$A$10:$B$40,2,FALSE)</f>
        <v>n.v.t.</v>
      </c>
      <c r="J1768" s="607">
        <v>10.58</v>
      </c>
      <c r="K1768" s="433">
        <f t="shared" si="144"/>
        <v>0</v>
      </c>
      <c r="L1768" s="433">
        <f t="shared" si="145"/>
        <v>0</v>
      </c>
      <c r="M1768" s="433">
        <f t="shared" si="146"/>
        <v>0</v>
      </c>
      <c r="N1768" s="672"/>
      <c r="O1768" s="729">
        <f>IF(N1768="",0,N1768*K1768/'9b-Vloeronderhoud'!$F$4)</f>
        <v>0</v>
      </c>
      <c r="P1768" s="672"/>
      <c r="Q1768" s="729" t="e">
        <f>IF(O1768="",0,P1768*L1768/'9b-Vloeronderhoud'!$F$6)</f>
        <v>#DIV/0!</v>
      </c>
      <c r="R1768" s="449">
        <v>1</v>
      </c>
      <c r="S1768" s="675">
        <v>190</v>
      </c>
      <c r="T1768" s="161" t="e">
        <f t="shared" si="147"/>
        <v>#DIV/0!</v>
      </c>
      <c r="U1768" s="162">
        <f>IF(S1768="nio",0,IF(S1768&gt;0,VLOOKUP(G1768,'3-Productie normen'!A:K,VLOOKUP(S1768,'3-Productie normen'!L:N,3,FALSE),FALSE)))</f>
        <v>0</v>
      </c>
      <c r="V1768" s="162">
        <f>VLOOKUP(G1768,'3-Productie normen'!A:K,10,FALSE)</f>
        <v>726.97999910354622</v>
      </c>
      <c r="W1768" s="163">
        <f>VLOOKUP(G1768,'3-Productie normen'!A:K,11,FALSE)</f>
        <v>0</v>
      </c>
      <c r="X1768" s="163"/>
      <c r="Z1768" s="129">
        <f t="shared" si="148"/>
        <v>2010.2</v>
      </c>
    </row>
    <row r="1769" spans="1:26" ht="14.1" customHeight="1">
      <c r="A1769" s="144">
        <v>1807</v>
      </c>
      <c r="B1769" s="605" t="s">
        <v>980</v>
      </c>
      <c r="C1769" s="609"/>
      <c r="D1769" s="606" t="s">
        <v>98</v>
      </c>
      <c r="E1769" s="721" t="s">
        <v>476</v>
      </c>
      <c r="F1769" s="609" t="s">
        <v>1027</v>
      </c>
      <c r="G1769" s="122" t="s">
        <v>189</v>
      </c>
      <c r="H1769" s="505" t="s">
        <v>375</v>
      </c>
      <c r="I1769" s="582" t="str">
        <f>VLOOKUP(H1769,'9a-Typen vloeren'!$A$10:$B$40,2,FALSE)</f>
        <v>n.v.t.</v>
      </c>
      <c r="J1769" s="607">
        <v>17.22</v>
      </c>
      <c r="K1769" s="433">
        <f t="shared" si="144"/>
        <v>0</v>
      </c>
      <c r="L1769" s="433">
        <f t="shared" si="145"/>
        <v>0</v>
      </c>
      <c r="M1769" s="433">
        <f t="shared" si="146"/>
        <v>0</v>
      </c>
      <c r="N1769" s="672"/>
      <c r="O1769" s="729">
        <f>IF(N1769="",0,N1769*K1769/'9b-Vloeronderhoud'!$F$4)</f>
        <v>0</v>
      </c>
      <c r="P1769" s="672"/>
      <c r="Q1769" s="729" t="e">
        <f>IF(O1769="",0,P1769*L1769/'9b-Vloeronderhoud'!$F$6)</f>
        <v>#DIV/0!</v>
      </c>
      <c r="R1769" s="449">
        <v>1</v>
      </c>
      <c r="S1769" s="675">
        <v>40</v>
      </c>
      <c r="T1769" s="161" t="e">
        <f t="shared" si="147"/>
        <v>#DIV/0!</v>
      </c>
      <c r="U1769" s="162">
        <f>IF(S1769="nio",0,IF(S1769&gt;0,VLOOKUP(G1769,'3-Productie normen'!A:K,VLOOKUP(S1769,'3-Productie normen'!L:N,3,FALSE),FALSE)))</f>
        <v>0</v>
      </c>
      <c r="V1769" s="162">
        <f>VLOOKUP(G1769,'3-Productie normen'!A:K,10,FALSE)</f>
        <v>1494.1700078582762</v>
      </c>
      <c r="W1769" s="163">
        <f>VLOOKUP(G1769,'3-Productie normen'!A:K,11,FALSE)</f>
        <v>0</v>
      </c>
      <c r="X1769" s="163"/>
      <c r="Z1769" s="129">
        <f t="shared" si="148"/>
        <v>688.8</v>
      </c>
    </row>
    <row r="1770" spans="1:26" ht="14.1" customHeight="1">
      <c r="A1770" s="144">
        <v>1808</v>
      </c>
      <c r="B1770" s="605" t="s">
        <v>980</v>
      </c>
      <c r="C1770" s="609"/>
      <c r="D1770" s="606" t="s">
        <v>98</v>
      </c>
      <c r="E1770" s="721" t="s">
        <v>477</v>
      </c>
      <c r="F1770" s="609" t="s">
        <v>1028</v>
      </c>
      <c r="G1770" s="460" t="s">
        <v>881</v>
      </c>
      <c r="H1770" s="505" t="s">
        <v>375</v>
      </c>
      <c r="I1770" s="582" t="str">
        <f>VLOOKUP(H1770,'9a-Typen vloeren'!$A$10:$B$40,2,FALSE)</f>
        <v>n.v.t.</v>
      </c>
      <c r="J1770" s="607">
        <v>0.56999999999999995</v>
      </c>
      <c r="K1770" s="433">
        <f t="shared" si="144"/>
        <v>0</v>
      </c>
      <c r="L1770" s="433">
        <f t="shared" si="145"/>
        <v>0</v>
      </c>
      <c r="M1770" s="433">
        <f t="shared" si="146"/>
        <v>0</v>
      </c>
      <c r="N1770" s="672"/>
      <c r="O1770" s="729">
        <f>IF(N1770="",0,N1770*K1770/'9b-Vloeronderhoud'!$F$4)</f>
        <v>0</v>
      </c>
      <c r="P1770" s="672"/>
      <c r="Q1770" s="729" t="e">
        <f>IF(O1770="",0,P1770*L1770/'9b-Vloeronderhoud'!$F$6)</f>
        <v>#DIV/0!</v>
      </c>
      <c r="R1770" s="449">
        <v>1</v>
      </c>
      <c r="S1770" s="675" t="s">
        <v>179</v>
      </c>
      <c r="T1770" s="161">
        <f t="shared" si="147"/>
        <v>0</v>
      </c>
      <c r="U1770" s="162">
        <f>IF(S1770="nio",0,IF(S1770&gt;0,VLOOKUP(G1770,'3-Productie normen'!A:K,VLOOKUP(S1770,'3-Productie normen'!L:N,3,FALSE),FALSE)))</f>
        <v>0</v>
      </c>
      <c r="V1770" s="162">
        <f>VLOOKUP(G1770,'3-Productie normen'!A:K,10,FALSE)</f>
        <v>5262.809993648526</v>
      </c>
      <c r="W1770" s="163">
        <f>VLOOKUP(G1770,'3-Productie normen'!A:K,11,FALSE)</f>
        <v>0</v>
      </c>
      <c r="X1770" s="163"/>
      <c r="Z1770" s="129">
        <f t="shared" si="148"/>
        <v>0</v>
      </c>
    </row>
    <row r="1771" spans="1:26" ht="14.1" customHeight="1">
      <c r="A1771" s="144">
        <v>1809</v>
      </c>
      <c r="B1771" s="605" t="s">
        <v>980</v>
      </c>
      <c r="C1771" s="609"/>
      <c r="D1771" s="606" t="s">
        <v>98</v>
      </c>
      <c r="E1771" s="721" t="s">
        <v>478</v>
      </c>
      <c r="F1771" s="609" t="s">
        <v>1029</v>
      </c>
      <c r="G1771" s="460" t="s">
        <v>881</v>
      </c>
      <c r="H1771" s="505" t="s">
        <v>375</v>
      </c>
      <c r="I1771" s="582" t="str">
        <f>VLOOKUP(H1771,'9a-Typen vloeren'!$A$10:$B$40,2,FALSE)</f>
        <v>n.v.t.</v>
      </c>
      <c r="J1771" s="607">
        <v>4.87</v>
      </c>
      <c r="K1771" s="433">
        <f t="shared" si="144"/>
        <v>0</v>
      </c>
      <c r="L1771" s="433">
        <f t="shared" si="145"/>
        <v>0</v>
      </c>
      <c r="M1771" s="433">
        <f t="shared" si="146"/>
        <v>0</v>
      </c>
      <c r="N1771" s="672"/>
      <c r="O1771" s="729">
        <f>IF(N1771="",0,N1771*K1771/'9b-Vloeronderhoud'!$F$4)</f>
        <v>0</v>
      </c>
      <c r="P1771" s="672"/>
      <c r="Q1771" s="729" t="e">
        <f>IF(O1771="",0,P1771*L1771/'9b-Vloeronderhoud'!$F$6)</f>
        <v>#DIV/0!</v>
      </c>
      <c r="R1771" s="449">
        <v>1</v>
      </c>
      <c r="S1771" s="675" t="s">
        <v>179</v>
      </c>
      <c r="T1771" s="161">
        <f t="shared" si="147"/>
        <v>0</v>
      </c>
      <c r="U1771" s="162">
        <f>IF(S1771="nio",0,IF(S1771&gt;0,VLOOKUP(G1771,'3-Productie normen'!A:K,VLOOKUP(S1771,'3-Productie normen'!L:N,3,FALSE),FALSE)))</f>
        <v>0</v>
      </c>
      <c r="V1771" s="162">
        <f>VLOOKUP(G1771,'3-Productie normen'!A:K,10,FALSE)</f>
        <v>5262.809993648526</v>
      </c>
      <c r="W1771" s="163">
        <f>VLOOKUP(G1771,'3-Productie normen'!A:K,11,FALSE)</f>
        <v>0</v>
      </c>
      <c r="X1771" s="163"/>
      <c r="Z1771" s="129">
        <f t="shared" si="148"/>
        <v>0</v>
      </c>
    </row>
    <row r="1772" spans="1:26" ht="14.1" customHeight="1">
      <c r="A1772" s="144">
        <v>1810</v>
      </c>
      <c r="B1772" s="605" t="s">
        <v>980</v>
      </c>
      <c r="C1772" s="609"/>
      <c r="D1772" s="610" t="s">
        <v>1030</v>
      </c>
      <c r="E1772" s="722" t="s">
        <v>1031</v>
      </c>
      <c r="F1772" s="609" t="s">
        <v>1032</v>
      </c>
      <c r="G1772" s="122" t="s">
        <v>286</v>
      </c>
      <c r="H1772" s="505" t="s">
        <v>375</v>
      </c>
      <c r="I1772" s="582" t="str">
        <f>VLOOKUP(H1772,'9a-Typen vloeren'!$A$10:$B$40,2,FALSE)</f>
        <v>n.v.t.</v>
      </c>
      <c r="J1772" s="607">
        <v>69.58</v>
      </c>
      <c r="K1772" s="433">
        <f t="shared" si="144"/>
        <v>0</v>
      </c>
      <c r="L1772" s="433">
        <f t="shared" si="145"/>
        <v>0</v>
      </c>
      <c r="M1772" s="433">
        <f t="shared" si="146"/>
        <v>0</v>
      </c>
      <c r="N1772" s="672"/>
      <c r="O1772" s="729">
        <f>IF(N1772="",0,N1772*K1772/'9b-Vloeronderhoud'!$F$4)</f>
        <v>0</v>
      </c>
      <c r="P1772" s="672"/>
      <c r="Q1772" s="729" t="e">
        <f>IF(O1772="",0,P1772*L1772/'9b-Vloeronderhoud'!$F$6)</f>
        <v>#DIV/0!</v>
      </c>
      <c r="R1772" s="449">
        <v>1</v>
      </c>
      <c r="S1772" s="672">
        <v>120</v>
      </c>
      <c r="T1772" s="161" t="e">
        <f t="shared" si="147"/>
        <v>#DIV/0!</v>
      </c>
      <c r="U1772" s="162">
        <f>IF(S1772="nio",0,IF(S1772&gt;0,VLOOKUP(G1772,'3-Productie normen'!A:K,VLOOKUP(S1772,'3-Productie normen'!L:N,3,FALSE),FALSE)))</f>
        <v>0</v>
      </c>
      <c r="V1772" s="162">
        <f>VLOOKUP(G1772,'3-Productie normen'!A:K,10,FALSE)</f>
        <v>6152.9500017547598</v>
      </c>
      <c r="W1772" s="163">
        <f>VLOOKUP(G1772,'3-Productie normen'!A:K,11,FALSE)</f>
        <v>0</v>
      </c>
      <c r="X1772" s="163"/>
      <c r="Z1772" s="129">
        <f t="shared" si="148"/>
        <v>8349.6</v>
      </c>
    </row>
    <row r="1773" spans="1:26" ht="14.1" customHeight="1">
      <c r="A1773" s="144">
        <v>1811</v>
      </c>
      <c r="B1773" s="605" t="s">
        <v>980</v>
      </c>
      <c r="C1773" s="609"/>
      <c r="D1773" s="610" t="s">
        <v>1030</v>
      </c>
      <c r="E1773" s="722" t="s">
        <v>1033</v>
      </c>
      <c r="F1773" s="609" t="s">
        <v>1032</v>
      </c>
      <c r="G1773" s="122" t="s">
        <v>286</v>
      </c>
      <c r="H1773" s="505" t="s">
        <v>375</v>
      </c>
      <c r="I1773" s="582" t="str">
        <f>VLOOKUP(H1773,'9a-Typen vloeren'!$A$10:$B$40,2,FALSE)</f>
        <v>n.v.t.</v>
      </c>
      <c r="J1773" s="607">
        <v>38.6</v>
      </c>
      <c r="K1773" s="433">
        <f t="shared" si="144"/>
        <v>0</v>
      </c>
      <c r="L1773" s="433">
        <f t="shared" si="145"/>
        <v>0</v>
      </c>
      <c r="M1773" s="433">
        <f t="shared" si="146"/>
        <v>0</v>
      </c>
      <c r="N1773" s="672"/>
      <c r="O1773" s="729">
        <f>IF(N1773="",0,N1773*K1773/'9b-Vloeronderhoud'!$F$4)</f>
        <v>0</v>
      </c>
      <c r="P1773" s="672"/>
      <c r="Q1773" s="729" t="e">
        <f>IF(O1773="",0,P1773*L1773/'9b-Vloeronderhoud'!$F$6)</f>
        <v>#DIV/0!</v>
      </c>
      <c r="R1773" s="449">
        <v>1</v>
      </c>
      <c r="S1773" s="672">
        <v>120</v>
      </c>
      <c r="T1773" s="161" t="e">
        <f t="shared" si="147"/>
        <v>#DIV/0!</v>
      </c>
      <c r="U1773" s="162">
        <f>IF(S1773="nio",0,IF(S1773&gt;0,VLOOKUP(G1773,'3-Productie normen'!A:K,VLOOKUP(S1773,'3-Productie normen'!L:N,3,FALSE),FALSE)))</f>
        <v>0</v>
      </c>
      <c r="V1773" s="162">
        <f>VLOOKUP(G1773,'3-Productie normen'!A:K,10,FALSE)</f>
        <v>6152.9500017547598</v>
      </c>
      <c r="W1773" s="163">
        <f>VLOOKUP(G1773,'3-Productie normen'!A:K,11,FALSE)</f>
        <v>0</v>
      </c>
      <c r="X1773" s="163"/>
      <c r="Z1773" s="129">
        <f t="shared" si="148"/>
        <v>4632</v>
      </c>
    </row>
    <row r="1774" spans="1:26" ht="14.1" customHeight="1">
      <c r="A1774" s="144">
        <v>1812</v>
      </c>
      <c r="B1774" s="605" t="s">
        <v>980</v>
      </c>
      <c r="C1774" s="609"/>
      <c r="D1774" s="610" t="s">
        <v>1030</v>
      </c>
      <c r="E1774" s="722" t="s">
        <v>1034</v>
      </c>
      <c r="F1774" s="609" t="s">
        <v>1024</v>
      </c>
      <c r="G1774" s="122" t="s">
        <v>18</v>
      </c>
      <c r="H1774" s="505" t="s">
        <v>375</v>
      </c>
      <c r="I1774" s="582" t="str">
        <f>VLOOKUP(H1774,'9a-Typen vloeren'!$A$10:$B$40,2,FALSE)</f>
        <v>n.v.t.</v>
      </c>
      <c r="J1774" s="607">
        <v>6.7</v>
      </c>
      <c r="K1774" s="433">
        <f t="shared" si="144"/>
        <v>0</v>
      </c>
      <c r="L1774" s="433">
        <f t="shared" si="145"/>
        <v>0</v>
      </c>
      <c r="M1774" s="433">
        <f t="shared" si="146"/>
        <v>0</v>
      </c>
      <c r="N1774" s="672"/>
      <c r="O1774" s="729">
        <f>IF(N1774="",0,N1774*K1774/'9b-Vloeronderhoud'!$F$4)</f>
        <v>0</v>
      </c>
      <c r="P1774" s="672"/>
      <c r="Q1774" s="729" t="e">
        <f>IF(O1774="",0,P1774*L1774/'9b-Vloeronderhoud'!$F$6)</f>
        <v>#DIV/0!</v>
      </c>
      <c r="R1774" s="449">
        <v>1</v>
      </c>
      <c r="S1774" s="675">
        <v>190</v>
      </c>
      <c r="T1774" s="161" t="e">
        <f t="shared" si="147"/>
        <v>#DIV/0!</v>
      </c>
      <c r="U1774" s="162">
        <f>IF(S1774="nio",0,IF(S1774&gt;0,VLOOKUP(G1774,'3-Productie normen'!A:K,VLOOKUP(S1774,'3-Productie normen'!L:N,3,FALSE),FALSE)))</f>
        <v>0</v>
      </c>
      <c r="V1774" s="162">
        <f>VLOOKUP(G1774,'3-Productie normen'!A:K,10,FALSE)</f>
        <v>1859.5880019121171</v>
      </c>
      <c r="W1774" s="163">
        <f>VLOOKUP(G1774,'3-Productie normen'!A:K,11,FALSE)</f>
        <v>0</v>
      </c>
      <c r="X1774" s="163"/>
      <c r="Z1774" s="129">
        <f t="shared" si="148"/>
        <v>1273</v>
      </c>
    </row>
    <row r="1775" spans="1:26" ht="14.1" customHeight="1">
      <c r="A1775" s="144">
        <v>1813</v>
      </c>
      <c r="B1775" s="605" t="s">
        <v>980</v>
      </c>
      <c r="C1775" s="609"/>
      <c r="D1775" s="610" t="s">
        <v>1030</v>
      </c>
      <c r="E1775" s="722" t="s">
        <v>1035</v>
      </c>
      <c r="F1775" s="609" t="s">
        <v>1036</v>
      </c>
      <c r="G1775" s="460" t="s">
        <v>881</v>
      </c>
      <c r="H1775" s="505" t="s">
        <v>375</v>
      </c>
      <c r="I1775" s="582" t="str">
        <f>VLOOKUP(H1775,'9a-Typen vloeren'!$A$10:$B$40,2,FALSE)</f>
        <v>n.v.t.</v>
      </c>
      <c r="J1775" s="607">
        <v>8.25</v>
      </c>
      <c r="K1775" s="433">
        <f t="shared" si="144"/>
        <v>0</v>
      </c>
      <c r="L1775" s="433">
        <f t="shared" si="145"/>
        <v>0</v>
      </c>
      <c r="M1775" s="433">
        <f t="shared" si="146"/>
        <v>0</v>
      </c>
      <c r="N1775" s="672"/>
      <c r="O1775" s="729">
        <f>IF(N1775="",0,N1775*K1775/'9b-Vloeronderhoud'!$F$4)</f>
        <v>0</v>
      </c>
      <c r="P1775" s="672"/>
      <c r="Q1775" s="729" t="e">
        <f>IF(O1775="",0,P1775*L1775/'9b-Vloeronderhoud'!$F$6)</f>
        <v>#DIV/0!</v>
      </c>
      <c r="R1775" s="449">
        <v>1</v>
      </c>
      <c r="S1775" s="675" t="s">
        <v>179</v>
      </c>
      <c r="T1775" s="161">
        <f t="shared" si="147"/>
        <v>0</v>
      </c>
      <c r="U1775" s="162">
        <f>IF(S1775="nio",0,IF(S1775&gt;0,VLOOKUP(G1775,'3-Productie normen'!A:K,VLOOKUP(S1775,'3-Productie normen'!L:N,3,FALSE),FALSE)))</f>
        <v>0</v>
      </c>
      <c r="V1775" s="162">
        <f>VLOOKUP(G1775,'3-Productie normen'!A:K,10,FALSE)</f>
        <v>5262.809993648526</v>
      </c>
      <c r="W1775" s="163">
        <f>VLOOKUP(G1775,'3-Productie normen'!A:K,11,FALSE)</f>
        <v>0</v>
      </c>
      <c r="X1775" s="163"/>
      <c r="Z1775" s="129">
        <f t="shared" si="148"/>
        <v>0</v>
      </c>
    </row>
    <row r="1776" spans="1:26" ht="14.1" customHeight="1">
      <c r="A1776" s="144">
        <v>1814</v>
      </c>
      <c r="B1776" s="605" t="s">
        <v>980</v>
      </c>
      <c r="C1776" s="609"/>
      <c r="D1776" s="610" t="s">
        <v>1030</v>
      </c>
      <c r="E1776" s="722" t="s">
        <v>355</v>
      </c>
      <c r="F1776" s="609" t="s">
        <v>1037</v>
      </c>
      <c r="G1776" s="460" t="s">
        <v>881</v>
      </c>
      <c r="H1776" s="505" t="s">
        <v>375</v>
      </c>
      <c r="I1776" s="582" t="str">
        <f>VLOOKUP(H1776,'9a-Typen vloeren'!$A$10:$B$40,2,FALSE)</f>
        <v>n.v.t.</v>
      </c>
      <c r="J1776" s="607">
        <v>112.58</v>
      </c>
      <c r="K1776" s="433">
        <f t="shared" si="144"/>
        <v>0</v>
      </c>
      <c r="L1776" s="433">
        <f t="shared" si="145"/>
        <v>0</v>
      </c>
      <c r="M1776" s="433">
        <f t="shared" si="146"/>
        <v>0</v>
      </c>
      <c r="N1776" s="672"/>
      <c r="O1776" s="729">
        <f>IF(N1776="",0,N1776*K1776/'9b-Vloeronderhoud'!$F$4)</f>
        <v>0</v>
      </c>
      <c r="P1776" s="672"/>
      <c r="Q1776" s="729" t="e">
        <f>IF(O1776="",0,P1776*L1776/'9b-Vloeronderhoud'!$F$6)</f>
        <v>#DIV/0!</v>
      </c>
      <c r="R1776" s="449">
        <v>1</v>
      </c>
      <c r="S1776" s="675" t="s">
        <v>179</v>
      </c>
      <c r="T1776" s="161">
        <f t="shared" si="147"/>
        <v>0</v>
      </c>
      <c r="U1776" s="162">
        <f>IF(S1776="nio",0,IF(S1776&gt;0,VLOOKUP(G1776,'3-Productie normen'!A:K,VLOOKUP(S1776,'3-Productie normen'!L:N,3,FALSE),FALSE)))</f>
        <v>0</v>
      </c>
      <c r="V1776" s="162">
        <f>VLOOKUP(G1776,'3-Productie normen'!A:K,10,FALSE)</f>
        <v>5262.809993648526</v>
      </c>
      <c r="W1776" s="163">
        <f>VLOOKUP(G1776,'3-Productie normen'!A:K,11,FALSE)</f>
        <v>0</v>
      </c>
      <c r="X1776" s="163"/>
      <c r="Z1776" s="129">
        <f t="shared" si="148"/>
        <v>0</v>
      </c>
    </row>
    <row r="1777" spans="1:26" ht="14.1" customHeight="1">
      <c r="A1777" s="144">
        <v>1815</v>
      </c>
      <c r="B1777" s="605" t="s">
        <v>980</v>
      </c>
      <c r="C1777" s="609"/>
      <c r="D1777" s="610" t="s">
        <v>1030</v>
      </c>
      <c r="E1777" s="722" t="s">
        <v>356</v>
      </c>
      <c r="F1777" s="609" t="s">
        <v>983</v>
      </c>
      <c r="G1777" s="122" t="s">
        <v>221</v>
      </c>
      <c r="H1777" s="505" t="s">
        <v>375</v>
      </c>
      <c r="I1777" s="582" t="str">
        <f>VLOOKUP(H1777,'9a-Typen vloeren'!$A$10:$B$40,2,FALSE)</f>
        <v>n.v.t.</v>
      </c>
      <c r="J1777" s="607">
        <v>56.35</v>
      </c>
      <c r="K1777" s="433">
        <f t="shared" si="144"/>
        <v>0</v>
      </c>
      <c r="L1777" s="433">
        <f t="shared" si="145"/>
        <v>0</v>
      </c>
      <c r="M1777" s="433">
        <f t="shared" si="146"/>
        <v>0</v>
      </c>
      <c r="N1777" s="672"/>
      <c r="O1777" s="729">
        <f>IF(N1777="",0,N1777*K1777/'9b-Vloeronderhoud'!$F$4)</f>
        <v>0</v>
      </c>
      <c r="P1777" s="672"/>
      <c r="Q1777" s="729" t="e">
        <f>IF(O1777="",0,P1777*L1777/'9b-Vloeronderhoud'!$F$6)</f>
        <v>#DIV/0!</v>
      </c>
      <c r="R1777" s="449">
        <v>1</v>
      </c>
      <c r="S1777" s="672">
        <v>80</v>
      </c>
      <c r="T1777" s="161" t="e">
        <f t="shared" si="147"/>
        <v>#DIV/0!</v>
      </c>
      <c r="U1777" s="162">
        <f>IF(S1777="nio",0,IF(S1777&gt;0,VLOOKUP(G1777,'3-Productie normen'!A:K,VLOOKUP(S1777,'3-Productie normen'!L:N,3,FALSE),FALSE)))</f>
        <v>0</v>
      </c>
      <c r="V1777" s="162">
        <f>VLOOKUP(G1777,'3-Productie normen'!A:K,10,FALSE)</f>
        <v>16013.110036668773</v>
      </c>
      <c r="W1777" s="163">
        <f>VLOOKUP(G1777,'3-Productie normen'!A:K,11,FALSE)</f>
        <v>0</v>
      </c>
      <c r="X1777" s="163"/>
      <c r="Z1777" s="129">
        <f t="shared" si="148"/>
        <v>4508</v>
      </c>
    </row>
    <row r="1778" spans="1:26" ht="14.1" customHeight="1">
      <c r="A1778" s="144">
        <v>1816</v>
      </c>
      <c r="B1778" s="605" t="s">
        <v>980</v>
      </c>
      <c r="C1778" s="609"/>
      <c r="D1778" s="610" t="s">
        <v>1030</v>
      </c>
      <c r="E1778" s="722" t="s">
        <v>357</v>
      </c>
      <c r="F1778" s="609" t="s">
        <v>983</v>
      </c>
      <c r="G1778" s="122" t="s">
        <v>221</v>
      </c>
      <c r="H1778" s="505" t="s">
        <v>375</v>
      </c>
      <c r="I1778" s="582" t="str">
        <f>VLOOKUP(H1778,'9a-Typen vloeren'!$A$10:$B$40,2,FALSE)</f>
        <v>n.v.t.</v>
      </c>
      <c r="J1778" s="607">
        <v>58.16</v>
      </c>
      <c r="K1778" s="433">
        <f t="shared" si="144"/>
        <v>0</v>
      </c>
      <c r="L1778" s="433">
        <f t="shared" si="145"/>
        <v>0</v>
      </c>
      <c r="M1778" s="433">
        <f t="shared" si="146"/>
        <v>0</v>
      </c>
      <c r="N1778" s="672"/>
      <c r="O1778" s="729">
        <f>IF(N1778="",0,N1778*K1778/'9b-Vloeronderhoud'!$F$4)</f>
        <v>0</v>
      </c>
      <c r="P1778" s="672"/>
      <c r="Q1778" s="729" t="e">
        <f>IF(O1778="",0,P1778*L1778/'9b-Vloeronderhoud'!$F$6)</f>
        <v>#DIV/0!</v>
      </c>
      <c r="R1778" s="449">
        <v>1</v>
      </c>
      <c r="S1778" s="672">
        <v>80</v>
      </c>
      <c r="T1778" s="161" t="e">
        <f t="shared" si="147"/>
        <v>#DIV/0!</v>
      </c>
      <c r="U1778" s="162">
        <f>IF(S1778="nio",0,IF(S1778&gt;0,VLOOKUP(G1778,'3-Productie normen'!A:K,VLOOKUP(S1778,'3-Productie normen'!L:N,3,FALSE),FALSE)))</f>
        <v>0</v>
      </c>
      <c r="V1778" s="162">
        <f>VLOOKUP(G1778,'3-Productie normen'!A:K,10,FALSE)</f>
        <v>16013.110036668773</v>
      </c>
      <c r="W1778" s="163">
        <f>VLOOKUP(G1778,'3-Productie normen'!A:K,11,FALSE)</f>
        <v>0</v>
      </c>
      <c r="X1778" s="163"/>
      <c r="Z1778" s="129">
        <f t="shared" si="148"/>
        <v>4652.7999999999993</v>
      </c>
    </row>
    <row r="1779" spans="1:26" ht="14.1" customHeight="1">
      <c r="A1779" s="144">
        <v>1817</v>
      </c>
      <c r="B1779" s="605" t="s">
        <v>980</v>
      </c>
      <c r="C1779" s="609"/>
      <c r="D1779" s="610" t="s">
        <v>1030</v>
      </c>
      <c r="E1779" s="722" t="s">
        <v>358</v>
      </c>
      <c r="F1779" s="609" t="s">
        <v>1038</v>
      </c>
      <c r="G1779" s="460" t="s">
        <v>881</v>
      </c>
      <c r="H1779" s="505" t="s">
        <v>375</v>
      </c>
      <c r="I1779" s="582" t="str">
        <f>VLOOKUP(H1779,'9a-Typen vloeren'!$A$10:$B$40,2,FALSE)</f>
        <v>n.v.t.</v>
      </c>
      <c r="J1779" s="607">
        <v>9.18</v>
      </c>
      <c r="K1779" s="433">
        <f t="shared" si="144"/>
        <v>0</v>
      </c>
      <c r="L1779" s="433">
        <f t="shared" si="145"/>
        <v>0</v>
      </c>
      <c r="M1779" s="433">
        <f t="shared" si="146"/>
        <v>0</v>
      </c>
      <c r="N1779" s="672"/>
      <c r="O1779" s="729">
        <f>IF(N1779="",0,N1779*K1779/'9b-Vloeronderhoud'!$F$4)</f>
        <v>0</v>
      </c>
      <c r="P1779" s="672"/>
      <c r="Q1779" s="729" t="e">
        <f>IF(O1779="",0,P1779*L1779/'9b-Vloeronderhoud'!$F$6)</f>
        <v>#DIV/0!</v>
      </c>
      <c r="R1779" s="449">
        <v>1</v>
      </c>
      <c r="S1779" s="675" t="s">
        <v>179</v>
      </c>
      <c r="T1779" s="161">
        <f t="shared" si="147"/>
        <v>0</v>
      </c>
      <c r="U1779" s="162">
        <f>IF(S1779="nio",0,IF(S1779&gt;0,VLOOKUP(G1779,'3-Productie normen'!A:K,VLOOKUP(S1779,'3-Productie normen'!L:N,3,FALSE),FALSE)))</f>
        <v>0</v>
      </c>
      <c r="V1779" s="162">
        <f>VLOOKUP(G1779,'3-Productie normen'!A:K,10,FALSE)</f>
        <v>5262.809993648526</v>
      </c>
      <c r="W1779" s="163">
        <f>VLOOKUP(G1779,'3-Productie normen'!A:K,11,FALSE)</f>
        <v>0</v>
      </c>
      <c r="X1779" s="163"/>
      <c r="Z1779" s="129">
        <f t="shared" si="148"/>
        <v>0</v>
      </c>
    </row>
    <row r="1780" spans="1:26" ht="14.1" customHeight="1">
      <c r="A1780" s="144">
        <v>1818</v>
      </c>
      <c r="B1780" s="605" t="s">
        <v>980</v>
      </c>
      <c r="C1780" s="609"/>
      <c r="D1780" s="610" t="s">
        <v>1030</v>
      </c>
      <c r="E1780" s="722" t="s">
        <v>359</v>
      </c>
      <c r="F1780" s="609" t="s">
        <v>995</v>
      </c>
      <c r="G1780" s="122" t="s">
        <v>18</v>
      </c>
      <c r="H1780" s="505" t="s">
        <v>375</v>
      </c>
      <c r="I1780" s="582" t="str">
        <f>VLOOKUP(H1780,'9a-Typen vloeren'!$A$10:$B$40,2,FALSE)</f>
        <v>n.v.t.</v>
      </c>
      <c r="J1780" s="607">
        <v>6.78</v>
      </c>
      <c r="K1780" s="433">
        <f t="shared" si="144"/>
        <v>0</v>
      </c>
      <c r="L1780" s="433">
        <f t="shared" si="145"/>
        <v>0</v>
      </c>
      <c r="M1780" s="433">
        <f t="shared" si="146"/>
        <v>0</v>
      </c>
      <c r="N1780" s="672"/>
      <c r="O1780" s="729">
        <f>IF(N1780="",0,N1780*K1780/'9b-Vloeronderhoud'!$F$4)</f>
        <v>0</v>
      </c>
      <c r="P1780" s="672"/>
      <c r="Q1780" s="729" t="e">
        <f>IF(O1780="",0,P1780*L1780/'9b-Vloeronderhoud'!$F$6)</f>
        <v>#DIV/0!</v>
      </c>
      <c r="R1780" s="449">
        <v>1</v>
      </c>
      <c r="S1780" s="675">
        <v>190</v>
      </c>
      <c r="T1780" s="161" t="e">
        <f t="shared" si="147"/>
        <v>#DIV/0!</v>
      </c>
      <c r="U1780" s="162">
        <f>IF(S1780="nio",0,IF(S1780&gt;0,VLOOKUP(G1780,'3-Productie normen'!A:K,VLOOKUP(S1780,'3-Productie normen'!L:N,3,FALSE),FALSE)))</f>
        <v>0</v>
      </c>
      <c r="V1780" s="162">
        <f>VLOOKUP(G1780,'3-Productie normen'!A:K,10,FALSE)</f>
        <v>1859.5880019121171</v>
      </c>
      <c r="W1780" s="163">
        <f>VLOOKUP(G1780,'3-Productie normen'!A:K,11,FALSE)</f>
        <v>0</v>
      </c>
      <c r="X1780" s="163"/>
      <c r="Z1780" s="129">
        <f t="shared" si="148"/>
        <v>1288.2</v>
      </c>
    </row>
    <row r="1781" spans="1:26" ht="14.1" customHeight="1">
      <c r="A1781" s="144">
        <v>1819</v>
      </c>
      <c r="B1781" s="605" t="s">
        <v>980</v>
      </c>
      <c r="C1781" s="609"/>
      <c r="D1781" s="610" t="s">
        <v>1030</v>
      </c>
      <c r="E1781" s="722" t="s">
        <v>361</v>
      </c>
      <c r="F1781" s="609" t="s">
        <v>1039</v>
      </c>
      <c r="G1781" s="122" t="s">
        <v>189</v>
      </c>
      <c r="H1781" s="505" t="s">
        <v>375</v>
      </c>
      <c r="I1781" s="582" t="str">
        <f>VLOOKUP(H1781,'9a-Typen vloeren'!$A$10:$B$40,2,FALSE)</f>
        <v>n.v.t.</v>
      </c>
      <c r="J1781" s="607">
        <v>9.01</v>
      </c>
      <c r="K1781" s="433">
        <f t="shared" si="144"/>
        <v>0</v>
      </c>
      <c r="L1781" s="433">
        <f t="shared" si="145"/>
        <v>0</v>
      </c>
      <c r="M1781" s="433">
        <f t="shared" si="146"/>
        <v>0</v>
      </c>
      <c r="N1781" s="672"/>
      <c r="O1781" s="729">
        <f>IF(N1781="",0,N1781*K1781/'9b-Vloeronderhoud'!$F$4)</f>
        <v>0</v>
      </c>
      <c r="P1781" s="672"/>
      <c r="Q1781" s="729" t="e">
        <f>IF(O1781="",0,P1781*L1781/'9b-Vloeronderhoud'!$F$6)</f>
        <v>#DIV/0!</v>
      </c>
      <c r="R1781" s="449">
        <v>1</v>
      </c>
      <c r="S1781" s="675">
        <v>40</v>
      </c>
      <c r="T1781" s="161" t="e">
        <f t="shared" si="147"/>
        <v>#DIV/0!</v>
      </c>
      <c r="U1781" s="162">
        <f>IF(S1781="nio",0,IF(S1781&gt;0,VLOOKUP(G1781,'3-Productie normen'!A:K,VLOOKUP(S1781,'3-Productie normen'!L:N,3,FALSE),FALSE)))</f>
        <v>0</v>
      </c>
      <c r="V1781" s="162">
        <f>VLOOKUP(G1781,'3-Productie normen'!A:K,10,FALSE)</f>
        <v>1494.1700078582762</v>
      </c>
      <c r="W1781" s="163">
        <f>VLOOKUP(G1781,'3-Productie normen'!A:K,11,FALSE)</f>
        <v>0</v>
      </c>
      <c r="X1781" s="163"/>
      <c r="Z1781" s="129">
        <f t="shared" si="148"/>
        <v>360.4</v>
      </c>
    </row>
    <row r="1782" spans="1:26" ht="14.1" customHeight="1">
      <c r="A1782" s="144">
        <v>1820</v>
      </c>
      <c r="B1782" s="605" t="s">
        <v>980</v>
      </c>
      <c r="C1782" s="609"/>
      <c r="D1782" s="610" t="s">
        <v>1030</v>
      </c>
      <c r="E1782" s="722" t="s">
        <v>363</v>
      </c>
      <c r="F1782" s="609" t="s">
        <v>994</v>
      </c>
      <c r="G1782" s="122" t="s">
        <v>18</v>
      </c>
      <c r="H1782" s="505" t="s">
        <v>375</v>
      </c>
      <c r="I1782" s="582" t="str">
        <f>VLOOKUP(H1782,'9a-Typen vloeren'!$A$10:$B$40,2,FALSE)</f>
        <v>n.v.t.</v>
      </c>
      <c r="J1782" s="607">
        <v>6.93</v>
      </c>
      <c r="K1782" s="433">
        <f t="shared" si="144"/>
        <v>0</v>
      </c>
      <c r="L1782" s="433">
        <f t="shared" si="145"/>
        <v>0</v>
      </c>
      <c r="M1782" s="433">
        <f t="shared" si="146"/>
        <v>0</v>
      </c>
      <c r="N1782" s="672"/>
      <c r="O1782" s="729">
        <f>IF(N1782="",0,N1782*K1782/'9b-Vloeronderhoud'!$F$4)</f>
        <v>0</v>
      </c>
      <c r="P1782" s="672"/>
      <c r="Q1782" s="729" t="e">
        <f>IF(O1782="",0,P1782*L1782/'9b-Vloeronderhoud'!$F$6)</f>
        <v>#DIV/0!</v>
      </c>
      <c r="R1782" s="449">
        <v>1</v>
      </c>
      <c r="S1782" s="675">
        <v>190</v>
      </c>
      <c r="T1782" s="161" t="e">
        <f t="shared" si="147"/>
        <v>#DIV/0!</v>
      </c>
      <c r="U1782" s="162">
        <f>IF(S1782="nio",0,IF(S1782&gt;0,VLOOKUP(G1782,'3-Productie normen'!A:K,VLOOKUP(S1782,'3-Productie normen'!L:N,3,FALSE),FALSE)))</f>
        <v>0</v>
      </c>
      <c r="V1782" s="162">
        <f>VLOOKUP(G1782,'3-Productie normen'!A:K,10,FALSE)</f>
        <v>1859.5880019121171</v>
      </c>
      <c r="W1782" s="163">
        <f>VLOOKUP(G1782,'3-Productie normen'!A:K,11,FALSE)</f>
        <v>0</v>
      </c>
      <c r="X1782" s="163"/>
      <c r="Z1782" s="129">
        <f t="shared" si="148"/>
        <v>1316.7</v>
      </c>
    </row>
    <row r="1783" spans="1:26" ht="14.1" customHeight="1">
      <c r="A1783" s="144">
        <v>1821</v>
      </c>
      <c r="B1783" s="605" t="s">
        <v>980</v>
      </c>
      <c r="C1783" s="609"/>
      <c r="D1783" s="610" t="s">
        <v>1030</v>
      </c>
      <c r="E1783" s="722" t="s">
        <v>364</v>
      </c>
      <c r="F1783" s="609" t="s">
        <v>1040</v>
      </c>
      <c r="G1783" s="460" t="s">
        <v>881</v>
      </c>
      <c r="H1783" s="505" t="s">
        <v>375</v>
      </c>
      <c r="I1783" s="582" t="str">
        <f>VLOOKUP(H1783,'9a-Typen vloeren'!$A$10:$B$40,2,FALSE)</f>
        <v>n.v.t.</v>
      </c>
      <c r="J1783" s="607">
        <v>41.98</v>
      </c>
      <c r="K1783" s="433">
        <f t="shared" ref="K1783:K1789" si="149">IF(G1783="niet in onderhoud",0,IF(I1783="sprayen/ conserveren",J1783,0))</f>
        <v>0</v>
      </c>
      <c r="L1783" s="433">
        <f t="shared" ref="L1783:L1789" si="150">IF(G1783="niet in onderhoud",0,IF(I1783="schrobben",J1783,0))</f>
        <v>0</v>
      </c>
      <c r="M1783" s="433">
        <f t="shared" ref="M1783:M1789" si="151">IF(G1783="niet in onderhoud",0,IF(I1783="Sproei/extraheren",J1783,0))</f>
        <v>0</v>
      </c>
      <c r="N1783" s="672"/>
      <c r="O1783" s="729">
        <f>IF(N1783="",0,N1783*K1783/'9b-Vloeronderhoud'!$F$4)</f>
        <v>0</v>
      </c>
      <c r="P1783" s="672"/>
      <c r="Q1783" s="729" t="e">
        <f>IF(O1783="",0,P1783*L1783/'9b-Vloeronderhoud'!$F$6)</f>
        <v>#DIV/0!</v>
      </c>
      <c r="R1783" s="449">
        <v>1</v>
      </c>
      <c r="S1783" s="675" t="s">
        <v>179</v>
      </c>
      <c r="T1783" s="161">
        <f t="shared" si="147"/>
        <v>0</v>
      </c>
      <c r="U1783" s="162">
        <f>IF(S1783="nio",0,IF(S1783&gt;0,VLOOKUP(G1783,'3-Productie normen'!A:K,VLOOKUP(S1783,'3-Productie normen'!L:N,3,FALSE),FALSE)))</f>
        <v>0</v>
      </c>
      <c r="V1783" s="162">
        <f>VLOOKUP(G1783,'3-Productie normen'!A:K,10,FALSE)</f>
        <v>5262.809993648526</v>
      </c>
      <c r="W1783" s="163">
        <f>VLOOKUP(G1783,'3-Productie normen'!A:K,11,FALSE)</f>
        <v>0</v>
      </c>
      <c r="X1783" s="163"/>
      <c r="Z1783" s="129">
        <f t="shared" si="148"/>
        <v>0</v>
      </c>
    </row>
    <row r="1784" spans="1:26" ht="14.1" customHeight="1">
      <c r="A1784" s="144">
        <v>1822</v>
      </c>
      <c r="B1784" s="605" t="s">
        <v>980</v>
      </c>
      <c r="C1784" s="609"/>
      <c r="D1784" s="610" t="s">
        <v>1030</v>
      </c>
      <c r="E1784" s="722" t="s">
        <v>366</v>
      </c>
      <c r="F1784" s="609" t="s">
        <v>1041</v>
      </c>
      <c r="G1784" s="122" t="s">
        <v>189</v>
      </c>
      <c r="H1784" s="505" t="s">
        <v>375</v>
      </c>
      <c r="I1784" s="582" t="str">
        <f>VLOOKUP(H1784,'9a-Typen vloeren'!$A$10:$B$40,2,FALSE)</f>
        <v>n.v.t.</v>
      </c>
      <c r="J1784" s="607">
        <v>43.36</v>
      </c>
      <c r="K1784" s="433">
        <f t="shared" si="149"/>
        <v>0</v>
      </c>
      <c r="L1784" s="433">
        <f t="shared" si="150"/>
        <v>0</v>
      </c>
      <c r="M1784" s="433">
        <f t="shared" si="151"/>
        <v>0</v>
      </c>
      <c r="N1784" s="672"/>
      <c r="O1784" s="729">
        <f>IF(N1784="",0,N1784*K1784/'9b-Vloeronderhoud'!$F$4)</f>
        <v>0</v>
      </c>
      <c r="P1784" s="672"/>
      <c r="Q1784" s="729" t="e">
        <f>IF(O1784="",0,P1784*L1784/'9b-Vloeronderhoud'!$F$6)</f>
        <v>#DIV/0!</v>
      </c>
      <c r="R1784" s="449">
        <v>1</v>
      </c>
      <c r="S1784" s="675">
        <v>40</v>
      </c>
      <c r="T1784" s="161" t="e">
        <f t="shared" si="147"/>
        <v>#DIV/0!</v>
      </c>
      <c r="U1784" s="162">
        <f>IF(S1784="nio",0,IF(S1784&gt;0,VLOOKUP(G1784,'3-Productie normen'!A:K,VLOOKUP(S1784,'3-Productie normen'!L:N,3,FALSE),FALSE)))</f>
        <v>0</v>
      </c>
      <c r="V1784" s="162">
        <f>VLOOKUP(G1784,'3-Productie normen'!A:K,10,FALSE)</f>
        <v>1494.1700078582762</v>
      </c>
      <c r="W1784" s="163">
        <f>VLOOKUP(G1784,'3-Productie normen'!A:K,11,FALSE)</f>
        <v>0</v>
      </c>
      <c r="X1784" s="163"/>
      <c r="Z1784" s="129">
        <f t="shared" si="148"/>
        <v>1734.4</v>
      </c>
    </row>
    <row r="1785" spans="1:26" ht="14.1" customHeight="1">
      <c r="A1785" s="144">
        <v>1823</v>
      </c>
      <c r="B1785" s="605" t="s">
        <v>980</v>
      </c>
      <c r="C1785" s="609"/>
      <c r="D1785" s="610" t="s">
        <v>1030</v>
      </c>
      <c r="E1785" s="722" t="s">
        <v>367</v>
      </c>
      <c r="F1785" s="609" t="s">
        <v>1023</v>
      </c>
      <c r="G1785" s="122" t="s">
        <v>480</v>
      </c>
      <c r="H1785" s="505" t="s">
        <v>375</v>
      </c>
      <c r="I1785" s="582" t="str">
        <f>VLOOKUP(H1785,'9a-Typen vloeren'!$A$10:$B$40,2,FALSE)</f>
        <v>n.v.t.</v>
      </c>
      <c r="J1785" s="607">
        <v>2.7</v>
      </c>
      <c r="K1785" s="433">
        <f t="shared" si="149"/>
        <v>0</v>
      </c>
      <c r="L1785" s="433">
        <f t="shared" si="150"/>
        <v>0</v>
      </c>
      <c r="M1785" s="433">
        <f t="shared" si="151"/>
        <v>0</v>
      </c>
      <c r="N1785" s="672"/>
      <c r="O1785" s="729">
        <f>IF(N1785="",0,N1785*K1785/'9b-Vloeronderhoud'!$F$4)</f>
        <v>0</v>
      </c>
      <c r="P1785" s="672"/>
      <c r="Q1785" s="729" t="e">
        <f>IF(O1785="",0,P1785*L1785/'9b-Vloeronderhoud'!$F$6)</f>
        <v>#DIV/0!</v>
      </c>
      <c r="R1785" s="449">
        <v>1</v>
      </c>
      <c r="S1785" s="672">
        <v>40</v>
      </c>
      <c r="T1785" s="161" t="e">
        <f t="shared" si="147"/>
        <v>#DIV/0!</v>
      </c>
      <c r="U1785" s="162">
        <f>IF(S1785="nio",0,IF(S1785&gt;0,VLOOKUP(G1785,'3-Productie normen'!A:K,VLOOKUP(S1785,'3-Productie normen'!L:N,3,FALSE),FALSE)))</f>
        <v>0</v>
      </c>
      <c r="V1785" s="162">
        <f>VLOOKUP(G1785,'3-Productie normen'!A:K,10,FALSE)</f>
        <v>31.690000023841854</v>
      </c>
      <c r="W1785" s="163">
        <f>VLOOKUP(G1785,'3-Productie normen'!A:K,11,FALSE)</f>
        <v>0</v>
      </c>
      <c r="X1785" s="163"/>
      <c r="Z1785" s="129">
        <f t="shared" si="148"/>
        <v>108</v>
      </c>
    </row>
    <row r="1786" spans="1:26" ht="14.1" customHeight="1">
      <c r="A1786" s="144">
        <v>1824</v>
      </c>
      <c r="B1786" s="605" t="s">
        <v>980</v>
      </c>
      <c r="C1786" s="609"/>
      <c r="D1786" s="610" t="s">
        <v>1030</v>
      </c>
      <c r="E1786" s="722" t="s">
        <v>368</v>
      </c>
      <c r="F1786" s="609" t="s">
        <v>1042</v>
      </c>
      <c r="G1786" s="122" t="s">
        <v>191</v>
      </c>
      <c r="H1786" s="505" t="s">
        <v>375</v>
      </c>
      <c r="I1786" s="582" t="str">
        <f>VLOOKUP(H1786,'9a-Typen vloeren'!$A$10:$B$40,2,FALSE)</f>
        <v>n.v.t.</v>
      </c>
      <c r="J1786" s="607">
        <v>25.33</v>
      </c>
      <c r="K1786" s="433">
        <f t="shared" si="149"/>
        <v>0</v>
      </c>
      <c r="L1786" s="433">
        <f t="shared" si="150"/>
        <v>0</v>
      </c>
      <c r="M1786" s="433">
        <f t="shared" si="151"/>
        <v>0</v>
      </c>
      <c r="N1786" s="672"/>
      <c r="O1786" s="729">
        <f>IF(N1786="",0,N1786*K1786/'9b-Vloeronderhoud'!$F$4)</f>
        <v>0</v>
      </c>
      <c r="P1786" s="672"/>
      <c r="Q1786" s="729" t="e">
        <f>IF(O1786="",0,P1786*L1786/'9b-Vloeronderhoud'!$F$6)</f>
        <v>#DIV/0!</v>
      </c>
      <c r="R1786" s="449">
        <v>1</v>
      </c>
      <c r="S1786" s="675">
        <v>40</v>
      </c>
      <c r="T1786" s="161" t="e">
        <f t="shared" si="147"/>
        <v>#DIV/0!</v>
      </c>
      <c r="U1786" s="162">
        <f>IF(S1786="nio",0,IF(S1786&gt;0,VLOOKUP(G1786,'3-Productie normen'!A:K,VLOOKUP(S1786,'3-Productie normen'!L:N,3,FALSE),FALSE)))</f>
        <v>0</v>
      </c>
      <c r="V1786" s="162">
        <f>VLOOKUP(G1786,'3-Productie normen'!A:K,10,FALSE)</f>
        <v>314.55999933242794</v>
      </c>
      <c r="W1786" s="163">
        <f>VLOOKUP(G1786,'3-Productie normen'!A:K,11,FALSE)</f>
        <v>0</v>
      </c>
      <c r="X1786" s="163"/>
      <c r="Z1786" s="129">
        <f t="shared" si="148"/>
        <v>1013.1999999999999</v>
      </c>
    </row>
    <row r="1787" spans="1:26" ht="14.1" customHeight="1">
      <c r="A1787" s="144">
        <v>1825</v>
      </c>
      <c r="B1787" s="605" t="s">
        <v>980</v>
      </c>
      <c r="C1787" s="609"/>
      <c r="D1787" s="610" t="s">
        <v>1030</v>
      </c>
      <c r="E1787" s="722" t="s">
        <v>369</v>
      </c>
      <c r="F1787" s="609" t="s">
        <v>1029</v>
      </c>
      <c r="G1787" s="460" t="s">
        <v>881</v>
      </c>
      <c r="H1787" s="505" t="s">
        <v>375</v>
      </c>
      <c r="I1787" s="582" t="str">
        <f>VLOOKUP(H1787,'9a-Typen vloeren'!$A$10:$B$40,2,FALSE)</f>
        <v>n.v.t.</v>
      </c>
      <c r="J1787" s="607">
        <v>12.63</v>
      </c>
      <c r="K1787" s="433">
        <f t="shared" si="149"/>
        <v>0</v>
      </c>
      <c r="L1787" s="433">
        <f t="shared" si="150"/>
        <v>0</v>
      </c>
      <c r="M1787" s="433">
        <f t="shared" si="151"/>
        <v>0</v>
      </c>
      <c r="N1787" s="672"/>
      <c r="O1787" s="729">
        <f>IF(N1787="",0,N1787*K1787/'9b-Vloeronderhoud'!$F$4)</f>
        <v>0</v>
      </c>
      <c r="P1787" s="672"/>
      <c r="Q1787" s="729" t="e">
        <f>IF(O1787="",0,P1787*L1787/'9b-Vloeronderhoud'!$F$6)</f>
        <v>#DIV/0!</v>
      </c>
      <c r="R1787" s="449">
        <v>1</v>
      </c>
      <c r="S1787" s="675" t="s">
        <v>179</v>
      </c>
      <c r="T1787" s="161">
        <f t="shared" si="147"/>
        <v>0</v>
      </c>
      <c r="U1787" s="162">
        <f>IF(S1787="nio",0,IF(S1787&gt;0,VLOOKUP(G1787,'3-Productie normen'!A:K,VLOOKUP(S1787,'3-Productie normen'!L:N,3,FALSE),FALSE)))</f>
        <v>0</v>
      </c>
      <c r="V1787" s="162">
        <f>VLOOKUP(G1787,'3-Productie normen'!A:K,10,FALSE)</f>
        <v>5262.809993648526</v>
      </c>
      <c r="W1787" s="163">
        <f>VLOOKUP(G1787,'3-Productie normen'!A:K,11,FALSE)</f>
        <v>0</v>
      </c>
      <c r="X1787" s="163"/>
      <c r="Z1787" s="129">
        <f t="shared" si="148"/>
        <v>0</v>
      </c>
    </row>
    <row r="1788" spans="1:26" ht="14.1" customHeight="1">
      <c r="A1788" s="144">
        <v>1826</v>
      </c>
      <c r="B1788" s="605" t="s">
        <v>980</v>
      </c>
      <c r="C1788" s="609"/>
      <c r="D1788" s="610" t="s">
        <v>1030</v>
      </c>
      <c r="E1788" s="722" t="s">
        <v>370</v>
      </c>
      <c r="F1788" s="609" t="s">
        <v>983</v>
      </c>
      <c r="G1788" s="122" t="s">
        <v>221</v>
      </c>
      <c r="H1788" s="505" t="s">
        <v>375</v>
      </c>
      <c r="I1788" s="582" t="str">
        <f>VLOOKUP(H1788,'9a-Typen vloeren'!$A$10:$B$40,2,FALSE)</f>
        <v>n.v.t.</v>
      </c>
      <c r="J1788" s="607">
        <v>58.37</v>
      </c>
      <c r="K1788" s="433">
        <f t="shared" si="149"/>
        <v>0</v>
      </c>
      <c r="L1788" s="433">
        <f t="shared" si="150"/>
        <v>0</v>
      </c>
      <c r="M1788" s="433">
        <f t="shared" si="151"/>
        <v>0</v>
      </c>
      <c r="N1788" s="672"/>
      <c r="O1788" s="729">
        <f>IF(N1788="",0,N1788*K1788/'9b-Vloeronderhoud'!$F$4)</f>
        <v>0</v>
      </c>
      <c r="P1788" s="672"/>
      <c r="Q1788" s="729" t="e">
        <f>IF(O1788="",0,P1788*L1788/'9b-Vloeronderhoud'!$F$6)</f>
        <v>#DIV/0!</v>
      </c>
      <c r="R1788" s="449">
        <v>1</v>
      </c>
      <c r="S1788" s="672">
        <v>80</v>
      </c>
      <c r="T1788" s="161" t="e">
        <f t="shared" si="147"/>
        <v>#DIV/0!</v>
      </c>
      <c r="U1788" s="162">
        <f>IF(S1788="nio",0,IF(S1788&gt;0,VLOOKUP(G1788,'3-Productie normen'!A:K,VLOOKUP(S1788,'3-Productie normen'!L:N,3,FALSE),FALSE)))</f>
        <v>0</v>
      </c>
      <c r="V1788" s="162">
        <f>VLOOKUP(G1788,'3-Productie normen'!A:K,10,FALSE)</f>
        <v>16013.110036668773</v>
      </c>
      <c r="W1788" s="163">
        <f>VLOOKUP(G1788,'3-Productie normen'!A:K,11,FALSE)</f>
        <v>0</v>
      </c>
      <c r="X1788" s="163"/>
      <c r="Z1788" s="129">
        <f t="shared" si="148"/>
        <v>4669.5999999999995</v>
      </c>
    </row>
    <row r="1789" spans="1:26" ht="14.1" customHeight="1">
      <c r="A1789" s="144">
        <v>1827</v>
      </c>
      <c r="B1789" s="605" t="s">
        <v>980</v>
      </c>
      <c r="C1789" s="609"/>
      <c r="D1789" s="610" t="s">
        <v>1030</v>
      </c>
      <c r="E1789" s="722" t="s">
        <v>371</v>
      </c>
      <c r="F1789" s="609" t="s">
        <v>983</v>
      </c>
      <c r="G1789" s="122" t="s">
        <v>221</v>
      </c>
      <c r="H1789" s="505" t="s">
        <v>375</v>
      </c>
      <c r="I1789" s="582" t="str">
        <f>VLOOKUP(H1789,'9a-Typen vloeren'!$A$10:$B$40,2,FALSE)</f>
        <v>n.v.t.</v>
      </c>
      <c r="J1789" s="607">
        <v>59.24</v>
      </c>
      <c r="K1789" s="433">
        <f t="shared" si="149"/>
        <v>0</v>
      </c>
      <c r="L1789" s="433">
        <f t="shared" si="150"/>
        <v>0</v>
      </c>
      <c r="M1789" s="433">
        <f t="shared" si="151"/>
        <v>0</v>
      </c>
      <c r="N1789" s="672"/>
      <c r="O1789" s="729">
        <f>IF(N1789="",0,N1789*K1789/'9b-Vloeronderhoud'!$F$4)</f>
        <v>0</v>
      </c>
      <c r="P1789" s="672"/>
      <c r="Q1789" s="729" t="e">
        <f>IF(O1789="",0,P1789*L1789/'9b-Vloeronderhoud'!$F$6)</f>
        <v>#DIV/0!</v>
      </c>
      <c r="R1789" s="449">
        <v>1</v>
      </c>
      <c r="S1789" s="672">
        <v>80</v>
      </c>
      <c r="T1789" s="161" t="e">
        <f t="shared" si="147"/>
        <v>#DIV/0!</v>
      </c>
      <c r="U1789" s="162">
        <f>IF(S1789="nio",0,IF(S1789&gt;0,VLOOKUP(G1789,'3-Productie normen'!A:K,VLOOKUP(S1789,'3-Productie normen'!L:N,3,FALSE),FALSE)))</f>
        <v>0</v>
      </c>
      <c r="V1789" s="162">
        <f>VLOOKUP(G1789,'3-Productie normen'!A:K,10,FALSE)</f>
        <v>16013.110036668773</v>
      </c>
      <c r="W1789" s="163">
        <f>VLOOKUP(G1789,'3-Productie normen'!A:K,11,FALSE)</f>
        <v>0</v>
      </c>
      <c r="X1789" s="163"/>
      <c r="Z1789" s="129">
        <f t="shared" si="148"/>
        <v>4739.2</v>
      </c>
    </row>
  </sheetData>
  <phoneticPr fontId="15"/>
  <printOptions horizontalCentered="1" gridLinesSet="0"/>
  <pageMargins left="0.19685039370078741" right="0.19685039370078741" top="0.59055118110236227" bottom="0.78740157480314965" header="0.39370078740157483" footer="0.19685039370078741"/>
  <pageSetup paperSize="9" scale="40" fitToHeight="0" orientation="landscape" r:id="rId1"/>
  <headerFooter alignWithMargins="0">
    <oddFooter>&amp;L&amp;"Verdana,Standaard"&amp;F-&amp;A
Atir b.v. ©&amp;R&amp;"Verdana,Standaard"printversie &amp;D</oddFooter>
  </headerFooter>
  <rowBreaks count="7" manualBreakCount="7">
    <brk id="44" min="1" max="21" man="1"/>
    <brk id="82" min="1" max="21" man="1"/>
    <brk id="136" min="1" max="21" man="1"/>
    <brk id="191" min="1" max="21" man="1"/>
    <brk id="241" min="1" max="21" man="1"/>
    <brk id="292" min="1" max="21" man="1"/>
    <brk id="341"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3"/>
  <sheetViews>
    <sheetView showGridLines="0" showZeros="0" showOutlineSymbols="0" zoomScaleNormal="100" zoomScaleSheetLayoutView="100" workbookViewId="0">
      <pane ySplit="9" topLeftCell="A10" activePane="bottomLeft" state="frozen"/>
      <selection activeCell="D33" sqref="D33"/>
      <selection pane="bottomLeft" activeCell="B46" sqref="B46"/>
    </sheetView>
  </sheetViews>
  <sheetFormatPr defaultColWidth="9.33203125" defaultRowHeight="13.2"/>
  <cols>
    <col min="1" max="1" width="45.5546875" style="4" customWidth="1"/>
    <col min="2" max="2" width="21.6640625" style="4" customWidth="1"/>
    <col min="3" max="3" width="18.44140625" style="4"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9">
      <c r="A1" s="412" t="s">
        <v>26</v>
      </c>
      <c r="B1" s="173"/>
      <c r="C1" s="46"/>
      <c r="D1" s="46"/>
      <c r="E1" s="46"/>
      <c r="F1" s="3"/>
      <c r="G1" s="3"/>
      <c r="H1" s="47"/>
    </row>
    <row r="2" spans="1:9">
      <c r="A2" s="2"/>
      <c r="B2" s="2"/>
      <c r="C2" s="2"/>
      <c r="D2" s="2"/>
      <c r="E2" s="2"/>
      <c r="F2" s="3"/>
      <c r="G2" s="3"/>
    </row>
    <row r="3" spans="1:9" ht="15">
      <c r="A3" s="113" t="str">
        <f>'1-Contractblad totaal'!A3</f>
        <v>Naam opdrachtgever</v>
      </c>
      <c r="B3" s="140" t="str">
        <f>'1-Contractblad totaal'!B3</f>
        <v>Elevantio</v>
      </c>
      <c r="C3" s="2"/>
      <c r="D3" s="2"/>
      <c r="E3" s="466"/>
      <c r="F3" s="3"/>
      <c r="G3" s="3"/>
    </row>
    <row r="4" spans="1:9" ht="15">
      <c r="A4" s="113" t="str">
        <f>'1-Contractblad totaal'!A4</f>
        <v>Calculatie onderdeel</v>
      </c>
      <c r="B4" s="140" t="str">
        <f ca="1">MID(CELL("bestandsnaam",$C$9),SEARCH("]",CELL("bestandsnaam",$C$9),1)+1,256)</f>
        <v>5-Premies en opslagen</v>
      </c>
      <c r="C4" s="174"/>
      <c r="D4" s="175"/>
      <c r="E4" s="176"/>
      <c r="F4" s="6"/>
      <c r="G4" s="6"/>
    </row>
    <row r="5" spans="1:9" ht="15">
      <c r="A5" s="113" t="str">
        <f>'1-Contractblad totaal'!A5</f>
        <v>Gebouw/plaats</v>
      </c>
      <c r="B5" s="140" t="str">
        <f>'1-Contractblad totaal'!B5</f>
        <v>Markt 1, Axel</v>
      </c>
      <c r="C5" s="113"/>
      <c r="D5" s="177"/>
      <c r="E5" s="178"/>
      <c r="F5" s="8"/>
      <c r="G5" s="6"/>
    </row>
    <row r="6" spans="1:9" ht="15">
      <c r="A6" s="113" t="str">
        <f>'1-Contractblad totaal'!A6</f>
        <v>Referentie nummer</v>
      </c>
      <c r="B6" s="140" t="str">
        <f>'1-Contractblad totaal'!B6</f>
        <v>Elevantio-EA-LK-RT-2022</v>
      </c>
      <c r="C6" s="146"/>
      <c r="D6" s="177"/>
      <c r="E6" s="473"/>
      <c r="F6" s="472"/>
      <c r="G6" s="474"/>
      <c r="H6" s="475"/>
    </row>
    <row r="7" spans="1:9" ht="15">
      <c r="A7" s="113" t="str">
        <f>'1-Contractblad totaal'!A8</f>
        <v>Naam dienstverlener</v>
      </c>
      <c r="B7" s="140">
        <f>'1-Contractblad totaal'!B8</f>
        <v>0</v>
      </c>
      <c r="C7" s="179"/>
      <c r="D7" s="22"/>
      <c r="E7" s="180"/>
      <c r="F7" s="8"/>
      <c r="G7" s="6"/>
      <c r="H7" s="9"/>
      <c r="I7" s="9"/>
    </row>
    <row r="8" spans="1:9" ht="15">
      <c r="A8" s="113" t="str">
        <f>'1-Contractblad totaal'!A9</f>
        <v>Prijspeil</v>
      </c>
      <c r="B8" s="114">
        <f>'1-Contractblad totaal'!B9</f>
        <v>44652</v>
      </c>
      <c r="C8" s="178"/>
      <c r="D8" s="178"/>
      <c r="E8" s="178"/>
      <c r="F8" s="8"/>
      <c r="G8" s="6"/>
    </row>
    <row r="9" spans="1:9" ht="15">
      <c r="A9" s="181"/>
      <c r="B9" s="178"/>
      <c r="C9" s="178"/>
      <c r="D9" s="178"/>
      <c r="E9" s="178"/>
      <c r="F9" s="8"/>
      <c r="G9" s="6"/>
    </row>
    <row r="10" spans="1:9" ht="17.399999999999999">
      <c r="A10" s="214" t="s">
        <v>4</v>
      </c>
      <c r="B10" s="215"/>
      <c r="C10" s="216"/>
      <c r="D10" s="178"/>
      <c r="E10" s="178"/>
      <c r="F10" s="8"/>
      <c r="G10" s="6"/>
    </row>
    <row r="11" spans="1:9">
      <c r="A11" s="182"/>
      <c r="B11" s="5"/>
      <c r="C11" s="5"/>
      <c r="D11" s="178"/>
      <c r="E11" s="178"/>
      <c r="F11" s="6"/>
      <c r="G11" s="6"/>
    </row>
    <row r="12" spans="1:9">
      <c r="A12" s="183"/>
      <c r="B12" s="184"/>
      <c r="C12" s="185" t="s">
        <v>40</v>
      </c>
      <c r="D12" s="178"/>
      <c r="E12" s="178"/>
      <c r="F12" s="8"/>
      <c r="G12" s="6"/>
    </row>
    <row r="13" spans="1:9">
      <c r="A13" s="186" t="s">
        <v>86</v>
      </c>
      <c r="B13" s="167"/>
      <c r="C13" s="413">
        <v>0</v>
      </c>
      <c r="D13" s="178"/>
      <c r="E13" s="178"/>
      <c r="F13" s="187"/>
      <c r="G13" s="6"/>
    </row>
    <row r="14" spans="1:9">
      <c r="A14" s="186" t="s">
        <v>182</v>
      </c>
      <c r="B14" s="167"/>
      <c r="C14" s="413">
        <v>0</v>
      </c>
      <c r="D14" s="178"/>
      <c r="E14" s="178"/>
      <c r="F14" s="187"/>
      <c r="G14" s="6"/>
      <c r="H14" s="47"/>
    </row>
    <row r="15" spans="1:9">
      <c r="A15" s="186" t="s">
        <v>87</v>
      </c>
      <c r="B15" s="167"/>
      <c r="C15" s="413">
        <v>0</v>
      </c>
      <c r="D15" s="178"/>
      <c r="E15" s="178"/>
      <c r="F15" s="187"/>
      <c r="G15" s="6"/>
      <c r="H15" s="47"/>
    </row>
    <row r="16" spans="1:9">
      <c r="A16" s="188" t="s">
        <v>9</v>
      </c>
      <c r="B16" s="189"/>
      <c r="C16" s="190">
        <f>SUM(C13:C15)</f>
        <v>0</v>
      </c>
      <c r="D16" s="178"/>
      <c r="E16" s="178"/>
      <c r="F16" s="6"/>
      <c r="G16" s="47"/>
    </row>
    <row r="17" spans="1:9">
      <c r="A17" s="188"/>
      <c r="B17" s="189"/>
      <c r="C17" s="190"/>
      <c r="D17" s="178"/>
      <c r="E17" s="178"/>
      <c r="F17" s="6"/>
      <c r="G17" s="47"/>
    </row>
    <row r="18" spans="1:9">
      <c r="A18" s="765" t="s">
        <v>88</v>
      </c>
      <c r="B18" s="766"/>
      <c r="C18" s="413">
        <v>0</v>
      </c>
      <c r="D18" s="178"/>
      <c r="E18" s="178"/>
      <c r="F18" s="6"/>
    </row>
    <row r="19" spans="1:9">
      <c r="A19" s="478" t="s">
        <v>210</v>
      </c>
      <c r="B19" s="476"/>
      <c r="C19" s="477">
        <v>0</v>
      </c>
      <c r="D19" s="178"/>
      <c r="E19" s="178"/>
      <c r="F19" s="6"/>
    </row>
    <row r="20" spans="1:9">
      <c r="A20" s="765" t="s">
        <v>89</v>
      </c>
      <c r="B20" s="766"/>
      <c r="C20" s="413">
        <v>0</v>
      </c>
      <c r="D20" s="178"/>
      <c r="E20" s="178"/>
      <c r="F20" s="6"/>
    </row>
    <row r="21" spans="1:9">
      <c r="A21" s="765" t="s">
        <v>36</v>
      </c>
      <c r="B21" s="766"/>
      <c r="C21" s="191" t="e">
        <f>C34</f>
        <v>#DIV/0!</v>
      </c>
      <c r="D21" s="178"/>
      <c r="E21" s="178"/>
      <c r="F21" s="6"/>
    </row>
    <row r="22" spans="1:9">
      <c r="A22" s="765" t="s">
        <v>72</v>
      </c>
      <c r="B22" s="766"/>
      <c r="C22" s="413">
        <v>0</v>
      </c>
      <c r="D22" s="178"/>
      <c r="E22" s="178"/>
      <c r="F22" s="6"/>
    </row>
    <row r="23" spans="1:9">
      <c r="A23" s="765" t="s">
        <v>205</v>
      </c>
      <c r="B23" s="766"/>
      <c r="C23" s="413">
        <v>0</v>
      </c>
      <c r="D23" s="178"/>
      <c r="E23" s="178"/>
      <c r="F23" s="6"/>
    </row>
    <row r="24" spans="1:9">
      <c r="A24" s="767" t="s">
        <v>71</v>
      </c>
      <c r="B24" s="768"/>
      <c r="C24" s="192" t="e">
        <f>SUM(C16:C23)</f>
        <v>#DIV/0!</v>
      </c>
      <c r="D24" s="178"/>
      <c r="E24" s="178"/>
      <c r="F24" s="6"/>
    </row>
    <row r="25" spans="1:9">
      <c r="A25" s="193"/>
      <c r="B25" s="175"/>
      <c r="C25" s="18"/>
      <c r="D25" s="178"/>
      <c r="E25" s="178"/>
      <c r="F25" s="19"/>
      <c r="G25" s="6"/>
    </row>
    <row r="26" spans="1:9" ht="17.399999999999999">
      <c r="A26" s="214" t="s">
        <v>65</v>
      </c>
      <c r="B26" s="215"/>
      <c r="C26" s="216"/>
      <c r="D26" s="178"/>
      <c r="E26" s="178"/>
      <c r="F26" s="8"/>
      <c r="G26" s="6"/>
    </row>
    <row r="27" spans="1:9">
      <c r="A27" s="182"/>
      <c r="B27" s="5"/>
      <c r="C27" s="5"/>
      <c r="D27" s="178"/>
      <c r="E27" s="178"/>
      <c r="F27" s="6"/>
      <c r="G27" s="6"/>
      <c r="H27" s="47"/>
    </row>
    <row r="28" spans="1:9">
      <c r="A28" s="5"/>
      <c r="B28" s="5"/>
      <c r="C28" s="194" t="s">
        <v>17</v>
      </c>
      <c r="D28" s="178"/>
      <c r="E28" s="178"/>
      <c r="F28" s="6"/>
      <c r="G28" s="6"/>
      <c r="H28" s="47"/>
    </row>
    <row r="29" spans="1:9">
      <c r="A29" s="186" t="s">
        <v>23</v>
      </c>
      <c r="B29" s="184"/>
      <c r="C29" s="195">
        <f>'6-Opbouw uurtarief productie'!E21</f>
        <v>0</v>
      </c>
      <c r="D29" s="178"/>
      <c r="E29" s="178"/>
      <c r="F29" s="47"/>
      <c r="G29" s="6"/>
      <c r="H29" s="47"/>
      <c r="I29" s="47"/>
    </row>
    <row r="30" spans="1:9">
      <c r="A30" s="186" t="s">
        <v>52</v>
      </c>
      <c r="B30" s="451" t="s">
        <v>187</v>
      </c>
      <c r="C30" s="414">
        <v>0</v>
      </c>
      <c r="D30" s="178"/>
      <c r="E30" s="178"/>
      <c r="F30" s="8"/>
      <c r="G30" s="6"/>
      <c r="H30" s="47"/>
      <c r="I30" s="47"/>
    </row>
    <row r="31" spans="1:9">
      <c r="A31" s="186" t="s">
        <v>46</v>
      </c>
      <c r="B31" s="184"/>
      <c r="C31" s="196">
        <f>C29+C30</f>
        <v>0</v>
      </c>
      <c r="D31" s="178"/>
      <c r="E31" s="178"/>
      <c r="F31" s="8"/>
      <c r="G31" s="6"/>
      <c r="H31" s="47"/>
      <c r="I31" s="47"/>
    </row>
    <row r="32" spans="1:9">
      <c r="A32" s="197" t="s">
        <v>0</v>
      </c>
      <c r="B32" s="198"/>
      <c r="C32" s="415">
        <v>0</v>
      </c>
      <c r="E32" s="199"/>
      <c r="F32" s="8"/>
      <c r="G32" s="6"/>
      <c r="H32" s="47"/>
    </row>
    <row r="33" spans="1:8">
      <c r="A33" s="182"/>
      <c r="B33" s="200"/>
      <c r="C33" s="201"/>
      <c r="E33" s="5"/>
      <c r="F33" s="6"/>
      <c r="G33" s="6"/>
      <c r="H33" s="47"/>
    </row>
    <row r="34" spans="1:8">
      <c r="A34" s="379" t="s">
        <v>47</v>
      </c>
      <c r="B34" s="307"/>
      <c r="C34" s="380" t="e">
        <f>(C31/C29)*C32</f>
        <v>#DIV/0!</v>
      </c>
      <c r="E34" s="202"/>
      <c r="F34" s="8"/>
      <c r="G34" s="203"/>
      <c r="H34" s="47"/>
    </row>
    <row r="35" spans="1:8">
      <c r="A35" s="182"/>
      <c r="B35" s="5"/>
      <c r="C35" s="5"/>
      <c r="E35" s="202"/>
      <c r="F35" s="8"/>
      <c r="G35" s="6"/>
    </row>
    <row r="36" spans="1:8" ht="17.399999999999999">
      <c r="A36" s="217" t="s">
        <v>218</v>
      </c>
      <c r="B36" s="218"/>
      <c r="C36" s="219"/>
      <c r="E36" s="202"/>
      <c r="F36" s="8"/>
      <c r="G36" s="6"/>
    </row>
    <row r="37" spans="1:8">
      <c r="A37" s="193"/>
      <c r="B37" s="175"/>
      <c r="C37" s="18"/>
      <c r="E37" s="202"/>
      <c r="F37" s="8"/>
      <c r="G37" s="6"/>
    </row>
    <row r="38" spans="1:8">
      <c r="A38" s="193"/>
      <c r="B38" s="394" t="s">
        <v>76</v>
      </c>
      <c r="C38" s="18"/>
      <c r="E38" s="202"/>
      <c r="F38" s="8"/>
      <c r="G38" s="6"/>
    </row>
    <row r="39" spans="1:8">
      <c r="A39" s="204" t="s">
        <v>6</v>
      </c>
      <c r="B39" s="484">
        <v>365</v>
      </c>
      <c r="C39" s="18"/>
      <c r="E39" s="202"/>
      <c r="F39" s="8"/>
      <c r="G39" s="24"/>
    </row>
    <row r="40" spans="1:8">
      <c r="A40" s="204" t="s">
        <v>5</v>
      </c>
      <c r="B40" s="484">
        <v>104</v>
      </c>
      <c r="C40" s="18"/>
      <c r="E40" s="202"/>
      <c r="F40" s="8"/>
      <c r="G40" s="24"/>
    </row>
    <row r="41" spans="1:8">
      <c r="A41" s="381" t="s">
        <v>7</v>
      </c>
      <c r="B41" s="382">
        <f>B39-B40</f>
        <v>261</v>
      </c>
      <c r="C41" s="18"/>
      <c r="E41" s="202"/>
      <c r="F41" s="8"/>
      <c r="G41" s="12"/>
    </row>
    <row r="42" spans="1:8">
      <c r="A42" s="205"/>
      <c r="B42" s="206"/>
      <c r="C42" s="18"/>
      <c r="E42" s="202"/>
      <c r="F42" s="8"/>
      <c r="G42" s="12"/>
    </row>
    <row r="43" spans="1:8">
      <c r="A43" s="204" t="s">
        <v>31</v>
      </c>
      <c r="B43" s="416">
        <v>0</v>
      </c>
      <c r="C43" s="18"/>
      <c r="E43" s="202"/>
      <c r="F43" s="8"/>
      <c r="G43" s="12"/>
    </row>
    <row r="44" spans="1:8">
      <c r="A44" s="204" t="s">
        <v>22</v>
      </c>
      <c r="B44" s="416">
        <v>0</v>
      </c>
      <c r="C44" s="18"/>
      <c r="E44" s="202"/>
      <c r="F44" s="8"/>
      <c r="G44" s="12"/>
    </row>
    <row r="45" spans="1:8">
      <c r="A45" s="204" t="s">
        <v>42</v>
      </c>
      <c r="B45" s="416">
        <v>0</v>
      </c>
      <c r="C45" s="18"/>
      <c r="E45" s="202"/>
      <c r="F45" s="8"/>
      <c r="G45" s="12"/>
    </row>
    <row r="46" spans="1:8">
      <c r="A46" s="204" t="s">
        <v>50</v>
      </c>
      <c r="B46" s="416"/>
      <c r="C46" s="18"/>
      <c r="E46" s="202"/>
      <c r="F46" s="8"/>
      <c r="G46" s="12"/>
    </row>
    <row r="47" spans="1:8">
      <c r="A47" s="381" t="s">
        <v>28</v>
      </c>
      <c r="B47" s="382">
        <f>B41-SUM(B43:B46)</f>
        <v>261</v>
      </c>
      <c r="C47" s="18"/>
      <c r="E47" s="202"/>
      <c r="F47" s="8"/>
      <c r="G47" s="12"/>
    </row>
    <row r="48" spans="1:8">
      <c r="A48" s="207"/>
      <c r="B48" s="206"/>
      <c r="C48" s="18"/>
      <c r="E48" s="202"/>
      <c r="F48" s="8"/>
      <c r="G48" s="12"/>
    </row>
    <row r="49" spans="1:7">
      <c r="A49" s="208" t="s">
        <v>66</v>
      </c>
      <c r="B49" s="209">
        <f>IF(B43=0,0,B43/$B$47)</f>
        <v>0</v>
      </c>
      <c r="C49" s="18"/>
      <c r="E49" s="202"/>
      <c r="F49" s="8"/>
      <c r="G49" s="12"/>
    </row>
    <row r="50" spans="1:7">
      <c r="A50" s="208" t="s">
        <v>22</v>
      </c>
      <c r="B50" s="209">
        <f>IF(B44=0,0,B44/$B$47)</f>
        <v>0</v>
      </c>
      <c r="C50" s="18"/>
      <c r="E50" s="202"/>
      <c r="F50" s="8"/>
      <c r="G50" s="12"/>
    </row>
    <row r="51" spans="1:7">
      <c r="A51" s="204" t="s">
        <v>42</v>
      </c>
      <c r="B51" s="209">
        <f>IF(B45=0,0,B45/$B$47)</f>
        <v>0</v>
      </c>
      <c r="C51" s="18"/>
      <c r="E51" s="202"/>
      <c r="F51" s="8"/>
      <c r="G51" s="12"/>
    </row>
    <row r="52" spans="1:7">
      <c r="A52" s="208" t="s">
        <v>50</v>
      </c>
      <c r="B52" s="209">
        <f>IF(B46=0,0,B46/$B$47)</f>
        <v>0</v>
      </c>
      <c r="C52" s="18"/>
      <c r="E52" s="202"/>
      <c r="F52" s="8"/>
      <c r="G52" s="33"/>
    </row>
    <row r="53" spans="1:7">
      <c r="A53" s="381" t="s">
        <v>73</v>
      </c>
      <c r="B53" s="383">
        <f>SUM(B49:B52)</f>
        <v>0</v>
      </c>
      <c r="C53" s="18"/>
      <c r="E53" s="202"/>
      <c r="F53" s="8"/>
      <c r="G53" s="36"/>
    </row>
    <row r="54" spans="1:7">
      <c r="A54" s="40"/>
      <c r="B54" s="40"/>
      <c r="C54" s="40"/>
      <c r="E54" s="202"/>
      <c r="F54" s="8"/>
      <c r="G54" s="3"/>
    </row>
    <row r="55" spans="1:7" ht="31.2" customHeight="1">
      <c r="A55" s="762" t="s">
        <v>219</v>
      </c>
      <c r="B55" s="763"/>
      <c r="C55" s="764"/>
      <c r="E55" s="202"/>
      <c r="F55" s="8"/>
      <c r="G55" s="3"/>
    </row>
    <row r="56" spans="1:7" s="47" customFormat="1"/>
    <row r="57" spans="1:7" s="47" customFormat="1"/>
    <row r="58" spans="1:7" s="47" customFormat="1" ht="13.8">
      <c r="A58" s="210"/>
      <c r="B58" s="1"/>
    </row>
    <row r="59" spans="1:7" s="47" customFormat="1" ht="13.8">
      <c r="A59" s="210"/>
      <c r="B59" s="1"/>
    </row>
    <row r="60" spans="1:7" s="47" customFormat="1" ht="13.8">
      <c r="A60" s="210"/>
      <c r="B60" s="1"/>
    </row>
    <row r="61" spans="1:7" s="47" customFormat="1" ht="13.8">
      <c r="A61" s="210"/>
      <c r="B61" s="1"/>
    </row>
    <row r="62" spans="1:7" s="47" customFormat="1" ht="13.8">
      <c r="A62" s="211"/>
      <c r="B62" s="1"/>
    </row>
    <row r="63" spans="1:7" s="47" customFormat="1" ht="13.8">
      <c r="A63" s="1"/>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212"/>
    </row>
    <row r="71" spans="1:3" s="47" customFormat="1" ht="13.8">
      <c r="A71" s="1"/>
      <c r="B71" s="1"/>
    </row>
    <row r="72" spans="1:3" s="47" customFormat="1" ht="13.8">
      <c r="B72" s="1"/>
    </row>
    <row r="73" spans="1:3" s="47" customFormat="1" ht="13.8">
      <c r="A73" s="1"/>
      <c r="B73" s="1"/>
      <c r="C73" s="1"/>
    </row>
    <row r="74" spans="1:3" s="47" customFormat="1" ht="13.8">
      <c r="A74" s="213"/>
      <c r="B74" s="1"/>
      <c r="C74" s="213"/>
    </row>
    <row r="75" spans="1:3" s="47" customFormat="1" ht="13.8">
      <c r="A75" s="1"/>
      <c r="B75" s="1"/>
      <c r="C75" s="1"/>
    </row>
    <row r="76" spans="1:3" s="47" customFormat="1" ht="13.8">
      <c r="A76" s="1"/>
      <c r="B76" s="1"/>
      <c r="C76" s="1"/>
    </row>
    <row r="77" spans="1:3" s="47" customFormat="1" ht="13.8">
      <c r="A77" s="1"/>
      <c r="B77" s="1"/>
      <c r="C77" s="1"/>
    </row>
    <row r="78" spans="1:3" s="47" customFormat="1" ht="13.8">
      <c r="A78" s="213"/>
      <c r="B78" s="1"/>
      <c r="C78" s="213"/>
    </row>
    <row r="79" spans="1:3" s="47" customFormat="1" ht="13.8">
      <c r="A79" s="213"/>
      <c r="B79" s="1"/>
      <c r="C79" s="213"/>
    </row>
    <row r="80" spans="1:3" s="47" customFormat="1" ht="13.8">
      <c r="A80" s="213"/>
      <c r="B80" s="1"/>
      <c r="C80" s="213"/>
    </row>
    <row r="81" spans="1:2" s="47" customFormat="1" ht="13.8">
      <c r="A81" s="1"/>
      <c r="B81" s="1"/>
    </row>
    <row r="82" spans="1:2" s="47" customFormat="1" ht="13.8">
      <c r="A82" s="1"/>
      <c r="B82" s="1"/>
    </row>
    <row r="83" spans="1:2" s="47" customFormat="1" ht="13.8">
      <c r="A83" s="1"/>
      <c r="B83" s="1"/>
    </row>
  </sheetData>
  <dataConsolidate/>
  <mergeCells count="7">
    <mergeCell ref="A55:C55"/>
    <mergeCell ref="A18:B18"/>
    <mergeCell ref="A24:B24"/>
    <mergeCell ref="A21:B21"/>
    <mergeCell ref="A20:B20"/>
    <mergeCell ref="A23:B23"/>
    <mergeCell ref="A22:B22"/>
  </mergeCells>
  <phoneticPr fontId="15"/>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P66"/>
  <sheetViews>
    <sheetView showGridLines="0" showZeros="0" showOutlineSymbols="0" zoomScale="90" zoomScaleNormal="90" zoomScalePageLayoutView="50" workbookViewId="0">
      <pane ySplit="10" topLeftCell="A11" activePane="bottomLeft" state="frozen"/>
      <selection activeCell="D33" sqref="D33"/>
      <selection pane="bottomLeft" activeCell="B61" sqref="B61"/>
    </sheetView>
  </sheetViews>
  <sheetFormatPr defaultColWidth="11.44140625" defaultRowHeight="13.2"/>
  <cols>
    <col min="1" max="1" width="35.88671875" style="4" customWidth="1"/>
    <col min="2" max="2" width="23"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5546875" style="4" customWidth="1"/>
    <col min="9" max="15" width="11.44140625" style="4"/>
    <col min="16" max="16" width="31.109375" style="4" customWidth="1"/>
    <col min="17" max="16384" width="11.44140625" style="4"/>
  </cols>
  <sheetData>
    <row r="1" spans="1:15" ht="12.75" customHeight="1">
      <c r="A1" s="412" t="s">
        <v>26</v>
      </c>
      <c r="B1" s="173"/>
      <c r="C1" s="46"/>
      <c r="D1" s="46"/>
      <c r="E1" s="46"/>
      <c r="F1" s="3"/>
      <c r="H1" s="772"/>
      <c r="I1" s="772"/>
      <c r="J1" s="772"/>
      <c r="K1" s="772"/>
      <c r="L1" s="772"/>
      <c r="M1" s="772"/>
      <c r="N1" s="772"/>
    </row>
    <row r="2" spans="1:15">
      <c r="A2" s="220"/>
      <c r="B2" s="221"/>
      <c r="C2" s="222"/>
      <c r="D2" s="221"/>
      <c r="E2" s="223"/>
      <c r="F2" s="224"/>
      <c r="H2" s="772"/>
      <c r="I2" s="772"/>
      <c r="J2" s="772"/>
      <c r="K2" s="772"/>
      <c r="L2" s="772"/>
      <c r="M2" s="772"/>
      <c r="N2" s="772"/>
    </row>
    <row r="3" spans="1:15" ht="14.25" customHeight="1">
      <c r="A3" s="289" t="str">
        <f>'1-Contractblad totaal'!A3</f>
        <v>Naam opdrachtgever</v>
      </c>
      <c r="B3" s="290" t="str">
        <f>'1-Contractblad totaal'!B3</f>
        <v>Elevantio</v>
      </c>
      <c r="C3" s="291"/>
      <c r="D3" s="221"/>
      <c r="E3" s="226"/>
      <c r="F3" s="227"/>
      <c r="H3" s="772"/>
      <c r="I3" s="772"/>
      <c r="J3" s="772"/>
      <c r="K3" s="772"/>
      <c r="L3" s="772"/>
      <c r="M3" s="772"/>
      <c r="N3" s="772"/>
    </row>
    <row r="4" spans="1:15" ht="15.75" customHeight="1">
      <c r="A4" s="289" t="str">
        <f>'1-Contractblad totaal'!A4</f>
        <v>Calculatie onderdeel</v>
      </c>
      <c r="B4" s="292" t="str">
        <f ca="1">MID(CELL("bestandsnaam",$C$9),SEARCH("]",CELL("bestandsnaam",$C$9),1)+1,256)</f>
        <v>6-Opbouw uurtarief productie</v>
      </c>
      <c r="C4" s="293"/>
      <c r="D4" s="230"/>
      <c r="E4" s="301"/>
      <c r="H4" s="772"/>
      <c r="I4" s="772"/>
      <c r="J4" s="772"/>
      <c r="K4" s="772"/>
      <c r="L4" s="772"/>
      <c r="M4" s="772"/>
      <c r="N4" s="772"/>
    </row>
    <row r="5" spans="1:15" ht="15">
      <c r="A5" s="289" t="str">
        <f>'1-Contractblad totaal'!A5</f>
        <v>Gebouw/plaats</v>
      </c>
      <c r="B5" s="290" t="str">
        <f>'1-Contractblad totaal'!B5</f>
        <v>Markt 1, Axel</v>
      </c>
      <c r="C5" s="293"/>
      <c r="D5" s="230"/>
      <c r="H5" s="772"/>
      <c r="I5" s="772"/>
      <c r="J5" s="772"/>
      <c r="K5" s="772"/>
      <c r="L5" s="772"/>
      <c r="M5" s="772"/>
      <c r="N5" s="772"/>
    </row>
    <row r="6" spans="1:15" ht="15">
      <c r="A6" s="289" t="str">
        <f>'1-Contractblad totaal'!A6</f>
        <v>Referentie nummer</v>
      </c>
      <c r="B6" s="290" t="str">
        <f>'1-Contractblad totaal'!B6</f>
        <v>Elevantio-EA-LK-RT-2022</v>
      </c>
      <c r="C6" s="293"/>
      <c r="D6" s="230"/>
      <c r="H6" s="231"/>
      <c r="I6" s="231"/>
      <c r="J6" s="231"/>
      <c r="K6" s="231"/>
      <c r="L6" s="231"/>
      <c r="M6" s="231"/>
      <c r="N6" s="231"/>
    </row>
    <row r="7" spans="1:15" s="9" customFormat="1" ht="15">
      <c r="A7" s="289" t="str">
        <f>'1-Contractblad totaal'!A8</f>
        <v>Naam dienstverlener</v>
      </c>
      <c r="B7" s="290">
        <f>'1-Contractblad totaal'!B8</f>
        <v>0</v>
      </c>
      <c r="C7" s="293"/>
      <c r="D7" s="230"/>
      <c r="H7" s="231"/>
      <c r="I7" s="231"/>
      <c r="J7" s="231"/>
      <c r="K7" s="231"/>
      <c r="L7" s="231"/>
      <c r="M7" s="231"/>
      <c r="N7" s="231"/>
    </row>
    <row r="8" spans="1:15" ht="15">
      <c r="A8" s="289" t="str">
        <f>'1-Contractblad totaal'!A9</f>
        <v>Prijspeil</v>
      </c>
      <c r="B8" s="114">
        <f>'1-Contractblad totaal'!B9</f>
        <v>44652</v>
      </c>
      <c r="C8" s="293"/>
      <c r="D8" s="230"/>
      <c r="I8" s="231"/>
      <c r="J8" s="231"/>
      <c r="K8" s="231"/>
      <c r="L8" s="231"/>
      <c r="M8" s="231"/>
      <c r="N8" s="231"/>
      <c r="O8" s="235"/>
    </row>
    <row r="9" spans="1:15" ht="15">
      <c r="A9" s="225"/>
      <c r="B9" s="228"/>
      <c r="C9" s="229"/>
      <c r="D9" s="230"/>
      <c r="E9" s="232"/>
      <c r="F9" s="233"/>
    </row>
    <row r="10" spans="1:15" s="235" customFormat="1" ht="30.75" customHeight="1">
      <c r="A10" s="294" t="s">
        <v>199</v>
      </c>
      <c r="B10" s="295"/>
      <c r="C10" s="296"/>
      <c r="D10" s="234"/>
      <c r="E10" s="770" t="s">
        <v>200</v>
      </c>
      <c r="F10" s="771"/>
      <c r="H10" s="297" t="s">
        <v>144</v>
      </c>
      <c r="I10" s="769" t="s">
        <v>1128</v>
      </c>
      <c r="J10" s="769"/>
      <c r="K10" s="769"/>
      <c r="L10" s="769"/>
      <c r="M10" s="769"/>
      <c r="N10" s="769"/>
    </row>
    <row r="11" spans="1:15" ht="30" customHeight="1">
      <c r="A11" s="236"/>
      <c r="B11" s="237" t="s">
        <v>59</v>
      </c>
      <c r="C11" s="238" t="s">
        <v>59</v>
      </c>
      <c r="D11" s="230"/>
      <c r="E11" s="239"/>
      <c r="F11" s="240"/>
      <c r="H11" s="236"/>
      <c r="I11" s="482">
        <v>1</v>
      </c>
      <c r="J11" s="482">
        <v>2</v>
      </c>
      <c r="K11" s="482">
        <v>3</v>
      </c>
      <c r="L11" s="482">
        <v>4</v>
      </c>
      <c r="M11" s="482">
        <v>5</v>
      </c>
      <c r="N11" s="482">
        <v>6</v>
      </c>
    </row>
    <row r="12" spans="1:15">
      <c r="A12" s="236" t="s">
        <v>39</v>
      </c>
      <c r="B12" s="242"/>
      <c r="C12" s="243"/>
      <c r="D12" s="230"/>
      <c r="E12" s="244">
        <f>SUM(I43:N43)</f>
        <v>0</v>
      </c>
      <c r="F12" s="245"/>
      <c r="H12" s="236" t="s">
        <v>145</v>
      </c>
      <c r="I12" s="725"/>
      <c r="J12" s="725"/>
      <c r="K12" s="725"/>
      <c r="L12" s="725"/>
      <c r="M12" s="725"/>
      <c r="N12" s="725"/>
    </row>
    <row r="13" spans="1:15" ht="13.8">
      <c r="A13" s="236" t="s">
        <v>16</v>
      </c>
      <c r="B13" s="246"/>
      <c r="C13" s="247" t="s">
        <v>63</v>
      </c>
      <c r="D13" s="230"/>
      <c r="E13" s="417">
        <v>0</v>
      </c>
      <c r="F13" s="245"/>
      <c r="H13" s="236" t="s">
        <v>137</v>
      </c>
      <c r="I13" s="725"/>
      <c r="J13" s="725"/>
      <c r="K13" s="725"/>
      <c r="L13" s="725"/>
      <c r="M13" s="725"/>
      <c r="N13" s="725"/>
    </row>
    <row r="14" spans="1:15" ht="13.8">
      <c r="A14" s="248" t="s">
        <v>33</v>
      </c>
      <c r="B14" s="249"/>
      <c r="C14" s="250"/>
      <c r="D14" s="230"/>
      <c r="E14" s="417">
        <v>0</v>
      </c>
      <c r="F14" s="245"/>
      <c r="G14" s="47"/>
      <c r="H14" s="236" t="s">
        <v>138</v>
      </c>
      <c r="I14" s="725"/>
      <c r="J14" s="725"/>
      <c r="K14" s="725"/>
      <c r="L14" s="725"/>
      <c r="M14" s="725"/>
      <c r="N14" s="725"/>
    </row>
    <row r="15" spans="1:15" s="47" customFormat="1" ht="13.8">
      <c r="A15" s="384" t="s">
        <v>14</v>
      </c>
      <c r="B15" s="385"/>
      <c r="C15" s="386"/>
      <c r="D15" s="387"/>
      <c r="E15" s="388">
        <f>SUM(E12:E14)</f>
        <v>0</v>
      </c>
      <c r="F15" s="245"/>
      <c r="G15" s="4"/>
      <c r="H15" s="236" t="s">
        <v>139</v>
      </c>
      <c r="I15" s="725"/>
      <c r="J15" s="725"/>
      <c r="K15" s="725"/>
      <c r="L15" s="725"/>
      <c r="M15" s="725"/>
      <c r="N15" s="725"/>
      <c r="O15" s="4"/>
    </row>
    <row r="16" spans="1:15" ht="13.8">
      <c r="A16" s="248"/>
      <c r="B16" s="252"/>
      <c r="C16" s="253"/>
      <c r="D16" s="230"/>
      <c r="E16" s="254"/>
      <c r="F16" s="245"/>
      <c r="H16" s="236" t="s">
        <v>140</v>
      </c>
      <c r="I16" s="725"/>
      <c r="J16" s="725"/>
      <c r="K16" s="725"/>
      <c r="L16" s="725"/>
      <c r="M16" s="725"/>
      <c r="N16" s="725"/>
    </row>
    <row r="17" spans="1:15" ht="13.8">
      <c r="A17" s="255" t="s">
        <v>55</v>
      </c>
      <c r="B17" s="256"/>
      <c r="C17" s="418">
        <v>0</v>
      </c>
      <c r="D17" s="230"/>
      <c r="E17" s="251">
        <f>$C17*E15</f>
        <v>0</v>
      </c>
      <c r="F17" s="245"/>
      <c r="H17" s="236" t="s">
        <v>141</v>
      </c>
      <c r="I17" s="725"/>
      <c r="J17" s="725"/>
      <c r="K17" s="725"/>
      <c r="L17" s="725"/>
      <c r="M17" s="725"/>
      <c r="N17" s="725"/>
    </row>
    <row r="18" spans="1:15" ht="13.8">
      <c r="A18" s="255" t="s">
        <v>83</v>
      </c>
      <c r="B18" s="256"/>
      <c r="C18" s="418">
        <v>0</v>
      </c>
      <c r="D18" s="230"/>
      <c r="E18" s="251">
        <f>$C18*E15</f>
        <v>0</v>
      </c>
      <c r="F18" s="245"/>
      <c r="G18" s="47"/>
      <c r="H18" s="236" t="s">
        <v>142</v>
      </c>
      <c r="I18" s="725"/>
      <c r="J18" s="725"/>
      <c r="K18" s="725"/>
      <c r="L18" s="725"/>
      <c r="M18" s="725"/>
      <c r="N18" s="725"/>
      <c r="O18" s="47"/>
    </row>
    <row r="19" spans="1:15" s="47" customFormat="1" ht="13.8">
      <c r="A19" s="384" t="s">
        <v>51</v>
      </c>
      <c r="B19" s="257"/>
      <c r="C19" s="250"/>
      <c r="D19" s="230"/>
      <c r="E19" s="388">
        <f>SUM(E15:E18)</f>
        <v>0</v>
      </c>
      <c r="F19" s="258">
        <f>IF(E19=0,0,E19/E$47)</f>
        <v>0</v>
      </c>
      <c r="G19" s="4"/>
      <c r="H19" s="236" t="s">
        <v>143</v>
      </c>
      <c r="I19" s="725"/>
      <c r="J19" s="725"/>
      <c r="K19" s="725"/>
      <c r="L19" s="725"/>
      <c r="M19" s="725"/>
      <c r="N19" s="725"/>
      <c r="O19" s="4"/>
    </row>
    <row r="20" spans="1:15" ht="13.8">
      <c r="A20" s="248"/>
      <c r="B20" s="252"/>
      <c r="C20" s="253"/>
      <c r="D20" s="230"/>
      <c r="E20" s="254"/>
      <c r="F20" s="245"/>
    </row>
    <row r="21" spans="1:15" ht="13.8">
      <c r="A21" s="392" t="s">
        <v>56</v>
      </c>
      <c r="B21" s="256"/>
      <c r="C21" s="253"/>
      <c r="D21" s="260"/>
      <c r="E21" s="479">
        <f>E19*0.96</f>
        <v>0</v>
      </c>
      <c r="F21" s="261"/>
      <c r="G21" s="262"/>
      <c r="H21" s="297" t="s">
        <v>144</v>
      </c>
      <c r="I21" s="773" t="s">
        <v>147</v>
      </c>
      <c r="J21" s="774"/>
      <c r="K21" s="774"/>
      <c r="L21" s="774"/>
      <c r="M21" s="774"/>
      <c r="N21" s="775"/>
      <c r="O21" s="262"/>
    </row>
    <row r="22" spans="1:15" s="262" customFormat="1" ht="13.8">
      <c r="A22" s="255" t="s">
        <v>67</v>
      </c>
      <c r="B22" s="256"/>
      <c r="C22" s="263" t="s">
        <v>44</v>
      </c>
      <c r="D22" s="230"/>
      <c r="E22" s="251" t="e">
        <f>E21*'5-Premies en opslagen'!$C24</f>
        <v>#DIV/0!</v>
      </c>
      <c r="F22" s="245"/>
      <c r="G22" s="4"/>
      <c r="H22" s="236"/>
      <c r="I22" s="241">
        <v>1</v>
      </c>
      <c r="J22" s="241">
        <v>2</v>
      </c>
      <c r="K22" s="241">
        <v>3</v>
      </c>
      <c r="L22" s="241">
        <v>4</v>
      </c>
      <c r="M22" s="241">
        <v>5</v>
      </c>
      <c r="N22" s="241">
        <v>6</v>
      </c>
      <c r="O22" s="4"/>
    </row>
    <row r="23" spans="1:15" ht="14.25" customHeight="1">
      <c r="A23" s="384" t="s">
        <v>64</v>
      </c>
      <c r="B23" s="298"/>
      <c r="C23" s="250"/>
      <c r="D23" s="230"/>
      <c r="E23" s="388" t="e">
        <f>E22+E19</f>
        <v>#DIV/0!</v>
      </c>
      <c r="F23" s="258" t="e">
        <f>IF(E23=0,0,E23/E$47)</f>
        <v>#DIV/0!</v>
      </c>
      <c r="H23" s="236" t="s">
        <v>145</v>
      </c>
      <c r="I23" s="420"/>
      <c r="J23" s="420"/>
      <c r="K23" s="420"/>
      <c r="L23" s="420"/>
      <c r="M23" s="420"/>
      <c r="N23" s="420"/>
    </row>
    <row r="24" spans="1:15" ht="12.75" customHeight="1">
      <c r="A24" s="248"/>
      <c r="B24" s="257"/>
      <c r="C24" s="250"/>
      <c r="D24" s="230"/>
      <c r="E24" s="239"/>
      <c r="F24" s="245"/>
      <c r="H24" s="236" t="s">
        <v>137</v>
      </c>
      <c r="I24" s="420"/>
      <c r="J24" s="420"/>
      <c r="K24" s="420"/>
      <c r="L24" s="420"/>
      <c r="M24" s="420"/>
      <c r="N24" s="420"/>
    </row>
    <row r="25" spans="1:15" ht="12.75" customHeight="1">
      <c r="A25" s="255" t="s">
        <v>35</v>
      </c>
      <c r="B25" s="256"/>
      <c r="C25" s="263" t="s">
        <v>44</v>
      </c>
      <c r="D25" s="230"/>
      <c r="E25" s="251" t="e">
        <f>E23*'5-Premies en opslagen'!$B53</f>
        <v>#DIV/0!</v>
      </c>
      <c r="F25" s="245"/>
      <c r="H25" s="236" t="s">
        <v>138</v>
      </c>
      <c r="I25" s="420"/>
      <c r="J25" s="420"/>
      <c r="K25" s="420"/>
      <c r="L25" s="420"/>
      <c r="M25" s="420"/>
      <c r="N25" s="420"/>
    </row>
    <row r="26" spans="1:15" ht="13.8">
      <c r="A26" s="384" t="s">
        <v>74</v>
      </c>
      <c r="B26" s="257"/>
      <c r="C26" s="250"/>
      <c r="D26" s="230"/>
      <c r="E26" s="388" t="e">
        <f>SUM(E23:E25)</f>
        <v>#DIV/0!</v>
      </c>
      <c r="F26" s="258" t="e">
        <f>IF(E26=0,0,E26/E$47)</f>
        <v>#DIV/0!</v>
      </c>
      <c r="H26" s="236" t="s">
        <v>139</v>
      </c>
      <c r="I26" s="420"/>
      <c r="J26" s="420"/>
      <c r="K26" s="420"/>
      <c r="L26" s="420"/>
      <c r="M26" s="420"/>
      <c r="N26" s="420"/>
    </row>
    <row r="27" spans="1:15" ht="13.8">
      <c r="A27" s="248"/>
      <c r="B27" s="257"/>
      <c r="C27" s="250"/>
      <c r="D27" s="230"/>
      <c r="E27" s="239"/>
      <c r="F27" s="245"/>
      <c r="H27" s="236" t="s">
        <v>140</v>
      </c>
      <c r="I27" s="420"/>
      <c r="J27" s="420"/>
      <c r="K27" s="420"/>
      <c r="L27" s="420"/>
      <c r="M27" s="420"/>
      <c r="N27" s="420"/>
    </row>
    <row r="28" spans="1:15" ht="13.8">
      <c r="A28" s="248" t="s">
        <v>57</v>
      </c>
      <c r="B28" s="264"/>
      <c r="C28" s="247" t="s">
        <v>63</v>
      </c>
      <c r="D28" s="230"/>
      <c r="E28" s="417">
        <v>0</v>
      </c>
      <c r="F28" s="245">
        <v>0</v>
      </c>
      <c r="H28" s="236" t="s">
        <v>141</v>
      </c>
      <c r="I28" s="420"/>
      <c r="J28" s="420"/>
      <c r="K28" s="420"/>
      <c r="L28" s="420"/>
      <c r="M28" s="420"/>
      <c r="N28" s="420"/>
    </row>
    <row r="29" spans="1:15" ht="13.8">
      <c r="A29" s="248" t="s">
        <v>61</v>
      </c>
      <c r="B29" s="265"/>
      <c r="C29" s="247" t="s">
        <v>63</v>
      </c>
      <c r="D29" s="230"/>
      <c r="E29" s="417">
        <v>0</v>
      </c>
      <c r="F29" s="245">
        <v>0</v>
      </c>
      <c r="H29" s="236" t="s">
        <v>142</v>
      </c>
      <c r="I29" s="420"/>
      <c r="J29" s="420"/>
      <c r="K29" s="420"/>
      <c r="L29" s="420"/>
      <c r="M29" s="420"/>
      <c r="N29" s="420"/>
    </row>
    <row r="30" spans="1:15" ht="13.8">
      <c r="A30" s="248" t="s">
        <v>62</v>
      </c>
      <c r="B30" s="257"/>
      <c r="C30" s="250" t="s">
        <v>59</v>
      </c>
      <c r="D30" s="230"/>
      <c r="E30" s="417">
        <v>0</v>
      </c>
      <c r="F30" s="245"/>
      <c r="H30" s="236" t="s">
        <v>143</v>
      </c>
      <c r="I30" s="420"/>
      <c r="J30" s="420"/>
      <c r="K30" s="420"/>
      <c r="L30" s="420"/>
      <c r="M30" s="420"/>
      <c r="N30" s="420"/>
    </row>
    <row r="31" spans="1:15" ht="12.75" customHeight="1">
      <c r="A31" s="419"/>
      <c r="B31" s="469"/>
      <c r="C31" s="470" t="s">
        <v>59</v>
      </c>
      <c r="D31" s="230"/>
      <c r="E31" s="417"/>
      <c r="F31" s="245"/>
      <c r="H31" s="268" t="s">
        <v>146</v>
      </c>
      <c r="I31" s="443">
        <f t="shared" ref="I31:N31" si="0">SUM(I23:I30)</f>
        <v>0</v>
      </c>
      <c r="J31" s="443">
        <f t="shared" si="0"/>
        <v>0</v>
      </c>
      <c r="K31" s="443">
        <f t="shared" si="0"/>
        <v>0</v>
      </c>
      <c r="L31" s="443">
        <f t="shared" si="0"/>
        <v>0</v>
      </c>
      <c r="M31" s="443">
        <f t="shared" si="0"/>
        <v>0</v>
      </c>
      <c r="N31" s="443">
        <f t="shared" si="0"/>
        <v>0</v>
      </c>
      <c r="O31" s="299">
        <f>SUM(I31:N31)</f>
        <v>0</v>
      </c>
    </row>
    <row r="32" spans="1:15" ht="12.75" customHeight="1">
      <c r="A32" s="384" t="s">
        <v>53</v>
      </c>
      <c r="B32" s="257"/>
      <c r="C32" s="250"/>
      <c r="D32" s="230"/>
      <c r="E32" s="388" t="e">
        <f>SUM(E26:E31)</f>
        <v>#DIV/0!</v>
      </c>
      <c r="F32" s="258" t="e">
        <f>IF(E32=0,0,E32/E$47)</f>
        <v>#DIV/0!</v>
      </c>
      <c r="H32" s="164"/>
      <c r="I32" s="164"/>
      <c r="J32" s="164"/>
      <c r="K32" s="164"/>
      <c r="L32" s="164"/>
      <c r="M32" s="164"/>
      <c r="N32" s="164"/>
    </row>
    <row r="33" spans="1:15" ht="12.75" customHeight="1">
      <c r="A33" s="248"/>
      <c r="B33" s="257"/>
      <c r="C33" s="250"/>
      <c r="D33" s="230"/>
      <c r="E33" s="239"/>
      <c r="F33" s="245"/>
      <c r="H33" s="452" t="s">
        <v>144</v>
      </c>
      <c r="I33" s="769" t="s">
        <v>148</v>
      </c>
      <c r="J33" s="769"/>
      <c r="K33" s="769"/>
      <c r="L33" s="769"/>
      <c r="M33" s="769"/>
      <c r="N33" s="769"/>
    </row>
    <row r="34" spans="1:15" ht="12.75" customHeight="1">
      <c r="A34" s="248" t="s">
        <v>75</v>
      </c>
      <c r="B34" s="257"/>
      <c r="C34" s="267"/>
      <c r="D34" s="230"/>
      <c r="E34" s="417">
        <v>0</v>
      </c>
      <c r="F34" s="480" t="e">
        <f t="shared" ref="F34:F42" si="1">E34/$E$47</f>
        <v>#DIV/0!</v>
      </c>
      <c r="H34" s="453"/>
      <c r="I34" s="454">
        <v>1</v>
      </c>
      <c r="J34" s="454">
        <v>2</v>
      </c>
      <c r="K34" s="454">
        <v>3</v>
      </c>
      <c r="L34" s="454">
        <v>4</v>
      </c>
      <c r="M34" s="454">
        <v>5</v>
      </c>
      <c r="N34" s="454">
        <v>6</v>
      </c>
    </row>
    <row r="35" spans="1:15" ht="12.75" customHeight="1">
      <c r="A35" s="248" t="s">
        <v>34</v>
      </c>
      <c r="B35" s="257"/>
      <c r="C35" s="267"/>
      <c r="D35" s="230"/>
      <c r="E35" s="417">
        <v>0</v>
      </c>
      <c r="F35" s="480" t="e">
        <f t="shared" si="1"/>
        <v>#DIV/0!</v>
      </c>
      <c r="H35" s="453" t="s">
        <v>145</v>
      </c>
      <c r="I35" s="455">
        <f t="shared" ref="I35:N42" si="2">I23*I12</f>
        <v>0</v>
      </c>
      <c r="J35" s="455">
        <f t="shared" si="2"/>
        <v>0</v>
      </c>
      <c r="K35" s="455">
        <f t="shared" si="2"/>
        <v>0</v>
      </c>
      <c r="L35" s="455">
        <f t="shared" si="2"/>
        <v>0</v>
      </c>
      <c r="M35" s="455">
        <f t="shared" si="2"/>
        <v>0</v>
      </c>
      <c r="N35" s="456">
        <f t="shared" si="2"/>
        <v>0</v>
      </c>
      <c r="O35" s="262"/>
    </row>
    <row r="36" spans="1:15" ht="14.25" customHeight="1">
      <c r="A36" s="248" t="s">
        <v>25</v>
      </c>
      <c r="B36" s="257"/>
      <c r="C36" s="267"/>
      <c r="D36" s="230"/>
      <c r="E36" s="417">
        <v>0</v>
      </c>
      <c r="F36" s="480" t="e">
        <f t="shared" si="1"/>
        <v>#DIV/0!</v>
      </c>
      <c r="H36" s="453" t="s">
        <v>137</v>
      </c>
      <c r="I36" s="455">
        <f t="shared" si="2"/>
        <v>0</v>
      </c>
      <c r="J36" s="455">
        <f t="shared" si="2"/>
        <v>0</v>
      </c>
      <c r="K36" s="455">
        <f t="shared" si="2"/>
        <v>0</v>
      </c>
      <c r="L36" s="455">
        <f t="shared" si="2"/>
        <v>0</v>
      </c>
      <c r="M36" s="455">
        <f t="shared" si="2"/>
        <v>0</v>
      </c>
      <c r="N36" s="456">
        <f t="shared" si="2"/>
        <v>0</v>
      </c>
      <c r="O36" s="262"/>
    </row>
    <row r="37" spans="1:15" ht="13.8">
      <c r="A37" s="248" t="s">
        <v>3</v>
      </c>
      <c r="B37" s="257"/>
      <c r="C37" s="269"/>
      <c r="D37" s="230"/>
      <c r="E37" s="417">
        <v>0</v>
      </c>
      <c r="F37" s="480" t="e">
        <f t="shared" si="1"/>
        <v>#DIV/0!</v>
      </c>
      <c r="H37" s="453" t="s">
        <v>138</v>
      </c>
      <c r="I37" s="455">
        <f t="shared" si="2"/>
        <v>0</v>
      </c>
      <c r="J37" s="455">
        <f t="shared" si="2"/>
        <v>0</v>
      </c>
      <c r="K37" s="455">
        <f t="shared" si="2"/>
        <v>0</v>
      </c>
      <c r="L37" s="455">
        <f t="shared" si="2"/>
        <v>0</v>
      </c>
      <c r="M37" s="455">
        <f t="shared" si="2"/>
        <v>0</v>
      </c>
      <c r="N37" s="456">
        <f t="shared" si="2"/>
        <v>0</v>
      </c>
      <c r="O37" s="262"/>
    </row>
    <row r="38" spans="1:15" ht="13.8">
      <c r="A38" s="248" t="s">
        <v>32</v>
      </c>
      <c r="B38" s="257"/>
      <c r="C38" s="267"/>
      <c r="D38" s="230"/>
      <c r="E38" s="417">
        <v>0</v>
      </c>
      <c r="F38" s="480" t="e">
        <f t="shared" si="1"/>
        <v>#DIV/0!</v>
      </c>
      <c r="H38" s="453" t="s">
        <v>139</v>
      </c>
      <c r="I38" s="455">
        <f t="shared" si="2"/>
        <v>0</v>
      </c>
      <c r="J38" s="455">
        <f t="shared" si="2"/>
        <v>0</v>
      </c>
      <c r="K38" s="455">
        <f t="shared" si="2"/>
        <v>0</v>
      </c>
      <c r="L38" s="455">
        <f t="shared" si="2"/>
        <v>0</v>
      </c>
      <c r="M38" s="455">
        <f t="shared" si="2"/>
        <v>0</v>
      </c>
      <c r="N38" s="456">
        <f t="shared" si="2"/>
        <v>0</v>
      </c>
      <c r="O38" s="164"/>
    </row>
    <row r="39" spans="1:15" ht="13.8">
      <c r="A39" s="248" t="s">
        <v>29</v>
      </c>
      <c r="B39" s="257"/>
      <c r="C39" s="269"/>
      <c r="D39" s="230"/>
      <c r="E39" s="417">
        <v>0</v>
      </c>
      <c r="F39" s="480" t="e">
        <f t="shared" si="1"/>
        <v>#DIV/0!</v>
      </c>
      <c r="H39" s="453" t="s">
        <v>140</v>
      </c>
      <c r="I39" s="455">
        <f t="shared" si="2"/>
        <v>0</v>
      </c>
      <c r="J39" s="455">
        <f t="shared" si="2"/>
        <v>0</v>
      </c>
      <c r="K39" s="455">
        <f t="shared" si="2"/>
        <v>0</v>
      </c>
      <c r="L39" s="455">
        <f t="shared" si="2"/>
        <v>0</v>
      </c>
      <c r="M39" s="455">
        <f t="shared" si="2"/>
        <v>0</v>
      </c>
      <c r="N39" s="456">
        <f t="shared" si="2"/>
        <v>0</v>
      </c>
      <c r="O39" s="164"/>
    </row>
    <row r="40" spans="1:15" ht="13.8">
      <c r="A40" s="248" t="s">
        <v>68</v>
      </c>
      <c r="B40" s="257"/>
      <c r="C40" s="247" t="s">
        <v>63</v>
      </c>
      <c r="D40" s="230"/>
      <c r="E40" s="417">
        <v>0</v>
      </c>
      <c r="F40" s="480" t="e">
        <f t="shared" si="1"/>
        <v>#DIV/0!</v>
      </c>
      <c r="H40" s="453" t="s">
        <v>141</v>
      </c>
      <c r="I40" s="455">
        <f t="shared" si="2"/>
        <v>0</v>
      </c>
      <c r="J40" s="455">
        <f t="shared" si="2"/>
        <v>0</v>
      </c>
      <c r="K40" s="455">
        <f t="shared" si="2"/>
        <v>0</v>
      </c>
      <c r="L40" s="455">
        <f t="shared" si="2"/>
        <v>0</v>
      </c>
      <c r="M40" s="455">
        <f t="shared" si="2"/>
        <v>0</v>
      </c>
      <c r="N40" s="456">
        <f t="shared" si="2"/>
        <v>0</v>
      </c>
      <c r="O40" s="164"/>
    </row>
    <row r="41" spans="1:15" ht="13.8">
      <c r="A41" s="248" t="s">
        <v>82</v>
      </c>
      <c r="B41" s="257"/>
      <c r="C41" s="247"/>
      <c r="D41" s="230"/>
      <c r="E41" s="417">
        <v>0</v>
      </c>
      <c r="F41" s="480" t="e">
        <f t="shared" si="1"/>
        <v>#DIV/0!</v>
      </c>
      <c r="H41" s="453" t="s">
        <v>142</v>
      </c>
      <c r="I41" s="455">
        <f t="shared" si="2"/>
        <v>0</v>
      </c>
      <c r="J41" s="455">
        <f t="shared" si="2"/>
        <v>0</v>
      </c>
      <c r="K41" s="455">
        <f t="shared" si="2"/>
        <v>0</v>
      </c>
      <c r="L41" s="455">
        <f t="shared" si="2"/>
        <v>0</v>
      </c>
      <c r="M41" s="455">
        <f t="shared" si="2"/>
        <v>0</v>
      </c>
      <c r="N41" s="456">
        <f t="shared" si="2"/>
        <v>0</v>
      </c>
      <c r="O41" s="164"/>
    </row>
    <row r="42" spans="1:15" ht="13.8">
      <c r="A42" s="419"/>
      <c r="B42" s="469"/>
      <c r="C42" s="471"/>
      <c r="D42" s="230"/>
      <c r="E42" s="417">
        <v>0</v>
      </c>
      <c r="F42" s="245" t="e">
        <f t="shared" si="1"/>
        <v>#DIV/0!</v>
      </c>
      <c r="H42" s="453" t="s">
        <v>143</v>
      </c>
      <c r="I42" s="455">
        <f t="shared" si="2"/>
        <v>0</v>
      </c>
      <c r="J42" s="455">
        <f t="shared" si="2"/>
        <v>0</v>
      </c>
      <c r="K42" s="455">
        <f t="shared" si="2"/>
        <v>0</v>
      </c>
      <c r="L42" s="455">
        <f t="shared" si="2"/>
        <v>0</v>
      </c>
      <c r="M42" s="455">
        <f t="shared" si="2"/>
        <v>0</v>
      </c>
      <c r="N42" s="456">
        <f t="shared" si="2"/>
        <v>0</v>
      </c>
      <c r="O42" s="164"/>
    </row>
    <row r="43" spans="1:15" ht="13.8">
      <c r="A43" s="384" t="s">
        <v>69</v>
      </c>
      <c r="B43" s="257"/>
      <c r="C43" s="250"/>
      <c r="D43" s="230"/>
      <c r="E43" s="388" t="e">
        <f>SUM(E32:E42)</f>
        <v>#DIV/0!</v>
      </c>
      <c r="F43" s="258" t="e">
        <f>IF(E43=0,0,E43/E$47)</f>
        <v>#DIV/0!</v>
      </c>
      <c r="H43" s="457" t="s">
        <v>146</v>
      </c>
      <c r="I43" s="458">
        <f t="shared" ref="I43:N43" si="3">SUM(I35:I42)</f>
        <v>0</v>
      </c>
      <c r="J43" s="458">
        <f t="shared" si="3"/>
        <v>0</v>
      </c>
      <c r="K43" s="458">
        <f t="shared" si="3"/>
        <v>0</v>
      </c>
      <c r="L43" s="458">
        <f t="shared" si="3"/>
        <v>0</v>
      </c>
      <c r="M43" s="458">
        <f t="shared" si="3"/>
        <v>0</v>
      </c>
      <c r="N43" s="458">
        <f t="shared" si="3"/>
        <v>0</v>
      </c>
      <c r="O43" s="164"/>
    </row>
    <row r="44" spans="1:15" ht="13.8">
      <c r="A44" s="248"/>
      <c r="B44" s="257"/>
      <c r="C44" s="250"/>
      <c r="D44" s="230"/>
      <c r="E44" s="239"/>
      <c r="F44" s="270"/>
      <c r="H44" s="262"/>
      <c r="I44" s="262"/>
      <c r="J44" s="262"/>
      <c r="K44" s="262"/>
      <c r="L44" s="262"/>
      <c r="M44" s="262"/>
      <c r="N44" s="262"/>
      <c r="O44" s="164"/>
    </row>
    <row r="45" spans="1:15" ht="13.8">
      <c r="A45" s="248" t="s">
        <v>70</v>
      </c>
      <c r="B45" s="257"/>
      <c r="C45" s="269"/>
      <c r="D45" s="230"/>
      <c r="E45" s="417">
        <v>0</v>
      </c>
      <c r="F45" s="258">
        <f>(IF(E45=0,0,E45/E$47))</f>
        <v>0</v>
      </c>
      <c r="H45" s="262"/>
      <c r="I45" s="262"/>
      <c r="J45" s="262"/>
      <c r="K45" s="262"/>
      <c r="L45" s="262"/>
      <c r="M45" s="262"/>
      <c r="N45" s="262"/>
      <c r="O45" s="164"/>
    </row>
    <row r="46" spans="1:15" ht="13.8">
      <c r="A46" s="248"/>
      <c r="B46" s="249"/>
      <c r="C46" s="250"/>
      <c r="D46" s="230"/>
      <c r="E46" s="239"/>
      <c r="F46" s="245"/>
      <c r="H46" s="262"/>
      <c r="I46" s="262"/>
      <c r="J46" s="262"/>
      <c r="K46" s="262"/>
      <c r="L46" s="262"/>
      <c r="M46" s="262"/>
      <c r="N46" s="262"/>
      <c r="O46" s="164"/>
    </row>
    <row r="47" spans="1:15" ht="13.8">
      <c r="A47" s="384" t="s">
        <v>45</v>
      </c>
      <c r="B47" s="390"/>
      <c r="C47" s="271"/>
      <c r="D47" s="230"/>
      <c r="E47" s="389" t="e">
        <f>SUM(E43:E46)</f>
        <v>#DIV/0!</v>
      </c>
      <c r="F47" s="391" t="e">
        <f>SUM(F43:F46)</f>
        <v>#DIV/0!</v>
      </c>
      <c r="H47" s="164"/>
      <c r="I47" s="164"/>
      <c r="J47" s="164"/>
      <c r="K47" s="164"/>
      <c r="L47" s="164"/>
      <c r="M47" s="164"/>
      <c r="N47" s="164"/>
      <c r="O47" s="262"/>
    </row>
    <row r="48" spans="1:15" ht="13.8">
      <c r="A48" s="172"/>
      <c r="B48" s="272"/>
      <c r="C48" s="273"/>
      <c r="D48" s="230"/>
      <c r="E48" s="9"/>
      <c r="F48" s="274"/>
      <c r="H48" s="164"/>
      <c r="I48" s="164"/>
      <c r="J48" s="164"/>
      <c r="K48" s="164"/>
      <c r="L48" s="164"/>
      <c r="M48" s="164"/>
      <c r="N48" s="164"/>
      <c r="O48" s="262"/>
    </row>
    <row r="49" spans="1:16" ht="13.8">
      <c r="A49" s="276" t="s">
        <v>208</v>
      </c>
      <c r="B49" s="277"/>
      <c r="C49" s="278"/>
      <c r="D49" s="262"/>
      <c r="E49" s="279" t="e">
        <f>(E$26*1.3)+($E$47-$E$26)</f>
        <v>#DIV/0!</v>
      </c>
      <c r="F49" s="280"/>
      <c r="G49" s="262"/>
      <c r="H49" s="164"/>
      <c r="I49" s="164"/>
      <c r="J49" s="164"/>
      <c r="K49" s="164"/>
      <c r="L49" s="164"/>
      <c r="M49" s="164"/>
      <c r="N49" s="164"/>
      <c r="O49" s="262"/>
      <c r="P49" s="262"/>
    </row>
    <row r="50" spans="1:16" s="262" customFormat="1" ht="13.8">
      <c r="A50" s="281"/>
      <c r="B50" s="282"/>
      <c r="C50" s="283"/>
      <c r="E50" s="281"/>
      <c r="F50" s="281"/>
      <c r="H50" s="164"/>
      <c r="I50" s="164"/>
      <c r="J50" s="164"/>
      <c r="K50" s="164"/>
      <c r="L50" s="164"/>
      <c r="M50" s="164"/>
      <c r="N50" s="164"/>
    </row>
    <row r="51" spans="1:16" s="262" customFormat="1" ht="13.8">
      <c r="A51" s="276" t="s">
        <v>49</v>
      </c>
      <c r="B51" s="277"/>
      <c r="C51" s="278"/>
      <c r="E51" s="279" t="e">
        <f>(E$26*1.5)+($E$47-$E$26)</f>
        <v>#DIV/0!</v>
      </c>
      <c r="F51" s="280"/>
      <c r="H51" s="164"/>
      <c r="I51" s="164"/>
      <c r="J51" s="164"/>
      <c r="K51" s="164"/>
      <c r="L51" s="164"/>
      <c r="M51" s="164"/>
      <c r="N51" s="164"/>
    </row>
    <row r="52" spans="1:16" s="262" customFormat="1" ht="13.8">
      <c r="A52" s="281"/>
      <c r="B52" s="282"/>
      <c r="C52" s="283"/>
      <c r="E52" s="281"/>
      <c r="F52" s="281"/>
      <c r="H52" s="164"/>
      <c r="I52" s="164"/>
      <c r="J52" s="164"/>
      <c r="K52" s="164"/>
      <c r="L52" s="164"/>
      <c r="M52" s="164"/>
      <c r="N52" s="164"/>
      <c r="O52" s="164"/>
    </row>
    <row r="53" spans="1:16" s="262" customFormat="1" ht="13.8">
      <c r="A53" s="276" t="s">
        <v>80</v>
      </c>
      <c r="B53" s="277"/>
      <c r="C53" s="278"/>
      <c r="E53" s="279" t="e">
        <f>(E$26*2.5)+($E$47-$E$26)</f>
        <v>#DIV/0!</v>
      </c>
      <c r="F53" s="284"/>
      <c r="H53" s="164"/>
      <c r="I53" s="164"/>
      <c r="J53" s="164"/>
      <c r="K53" s="164"/>
      <c r="L53" s="164"/>
      <c r="M53" s="164"/>
      <c r="N53" s="164"/>
      <c r="O53" s="164"/>
    </row>
    <row r="54" spans="1:16" s="262" customFormat="1" ht="13.8">
      <c r="A54" s="164"/>
      <c r="B54" s="285"/>
      <c r="C54" s="286"/>
      <c r="D54" s="164"/>
      <c r="E54" s="164"/>
      <c r="F54" s="287"/>
      <c r="G54" s="164"/>
      <c r="H54" s="164"/>
      <c r="I54" s="164"/>
      <c r="J54" s="164"/>
      <c r="K54" s="164"/>
      <c r="L54" s="164"/>
      <c r="M54" s="164"/>
      <c r="N54" s="164"/>
      <c r="O54" s="164"/>
      <c r="P54" s="164"/>
    </row>
    <row r="55" spans="1:16" s="164" customFormat="1" ht="13.8">
      <c r="B55" s="285"/>
      <c r="C55" s="286"/>
      <c r="F55" s="287"/>
    </row>
    <row r="56" spans="1:16" s="164" customFormat="1">
      <c r="C56" s="288"/>
      <c r="F56" s="287"/>
    </row>
    <row r="57" spans="1:16" s="164" customFormat="1">
      <c r="C57" s="288"/>
      <c r="F57" s="287"/>
    </row>
    <row r="58" spans="1:16" s="164" customFormat="1">
      <c r="A58" s="47"/>
      <c r="C58" s="288"/>
      <c r="F58" s="287"/>
      <c r="H58" s="4"/>
      <c r="I58" s="4"/>
      <c r="J58" s="4"/>
      <c r="K58" s="4"/>
      <c r="L58" s="4"/>
      <c r="M58" s="4"/>
      <c r="N58" s="4"/>
    </row>
    <row r="59" spans="1:16" s="164" customFormat="1">
      <c r="C59" s="288"/>
      <c r="F59" s="287"/>
      <c r="H59" s="4"/>
      <c r="I59" s="4"/>
      <c r="J59" s="4"/>
      <c r="K59" s="4"/>
      <c r="L59" s="4"/>
      <c r="M59" s="4"/>
      <c r="N59" s="4"/>
    </row>
    <row r="60" spans="1:16" s="164" customFormat="1">
      <c r="C60" s="288"/>
      <c r="F60" s="287"/>
      <c r="H60" s="4"/>
      <c r="I60" s="4"/>
      <c r="J60" s="4"/>
      <c r="K60" s="4"/>
      <c r="L60" s="4"/>
      <c r="M60" s="4"/>
      <c r="N60" s="4"/>
    </row>
    <row r="61" spans="1:16" s="164" customFormat="1">
      <c r="C61" s="288"/>
      <c r="F61" s="287"/>
      <c r="H61" s="4"/>
      <c r="I61" s="4"/>
      <c r="J61" s="4"/>
      <c r="K61" s="4"/>
      <c r="L61" s="4"/>
      <c r="M61" s="4"/>
      <c r="N61" s="4"/>
    </row>
    <row r="62" spans="1:16" s="164" customFormat="1">
      <c r="C62" s="288"/>
      <c r="F62" s="287"/>
      <c r="H62" s="4"/>
      <c r="I62" s="4"/>
      <c r="J62" s="4"/>
      <c r="K62" s="4"/>
      <c r="L62" s="4"/>
      <c r="M62" s="4"/>
      <c r="N62" s="4"/>
    </row>
    <row r="63" spans="1:16" s="164" customFormat="1">
      <c r="C63" s="288"/>
      <c r="F63" s="287"/>
      <c r="H63" s="4"/>
      <c r="I63" s="4"/>
      <c r="J63" s="4"/>
      <c r="K63" s="4"/>
      <c r="L63" s="4"/>
      <c r="M63" s="4"/>
      <c r="N63" s="4"/>
    </row>
    <row r="64" spans="1:16" s="164" customFormat="1">
      <c r="C64" s="288"/>
      <c r="F64" s="287"/>
      <c r="H64" s="4"/>
      <c r="I64" s="4"/>
      <c r="J64" s="4"/>
      <c r="K64" s="4"/>
      <c r="L64" s="4"/>
      <c r="M64" s="4"/>
      <c r="N64" s="4"/>
      <c r="O64" s="4"/>
    </row>
    <row r="65" spans="1:16" s="164" customFormat="1">
      <c r="C65" s="288"/>
      <c r="F65" s="287"/>
      <c r="H65" s="4"/>
      <c r="I65" s="4"/>
      <c r="J65" s="4"/>
      <c r="K65" s="4"/>
      <c r="L65" s="4"/>
      <c r="M65" s="4"/>
      <c r="N65" s="4"/>
      <c r="O65" s="4"/>
    </row>
    <row r="66" spans="1:16" s="164" customFormat="1">
      <c r="A66" s="4"/>
      <c r="B66" s="4"/>
      <c r="C66" s="4"/>
      <c r="D66" s="4"/>
      <c r="E66" s="4"/>
      <c r="F66" s="4"/>
      <c r="G66" s="4"/>
      <c r="H66" s="4"/>
      <c r="I66" s="4"/>
      <c r="J66" s="4"/>
      <c r="K66" s="4"/>
      <c r="L66" s="4"/>
      <c r="M66" s="4"/>
      <c r="N66" s="4"/>
      <c r="O66" s="4"/>
      <c r="P66" s="4"/>
    </row>
  </sheetData>
  <dataConsolidate/>
  <mergeCells count="7">
    <mergeCell ref="I33:N33"/>
    <mergeCell ref="E10:F10"/>
    <mergeCell ref="H1:N2"/>
    <mergeCell ref="H3:N3"/>
    <mergeCell ref="H4:N5"/>
    <mergeCell ref="I10:N10"/>
    <mergeCell ref="I21:N21"/>
  </mergeCells>
  <phoneticPr fontId="15"/>
  <conditionalFormatting sqref="O31">
    <cfRule type="cellIs" dxfId="11" priority="1" operator="greaterThan">
      <formula>1</formula>
    </cfRule>
    <cfRule type="cellIs" dxfId="10" priority="2" operator="between">
      <formula>0.999999</formula>
      <formula>0</formula>
    </cfRule>
    <cfRule type="cellIs" dxfId="9"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0"/>
  <sheetViews>
    <sheetView showGridLines="0" zoomScale="89" zoomScaleNormal="89" zoomScalePageLayoutView="50" workbookViewId="0">
      <pane ySplit="9" topLeftCell="A28" activePane="bottomLeft" state="frozen"/>
      <selection activeCell="D33" sqref="D33"/>
      <selection pane="bottomLeft" activeCell="A55" sqref="A55:XFD55"/>
    </sheetView>
  </sheetViews>
  <sheetFormatPr defaultColWidth="11.44140625" defaultRowHeight="13.2"/>
  <cols>
    <col min="1" max="1" width="35.88671875" style="4" customWidth="1"/>
    <col min="2" max="2" width="23.66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88671875" style="4" customWidth="1"/>
    <col min="9" max="15" width="11.44140625" style="4"/>
    <col min="16" max="16" width="33" style="4" customWidth="1"/>
    <col min="17" max="16384" width="11.44140625" style="4"/>
  </cols>
  <sheetData>
    <row r="1" spans="1:15" ht="12.75" customHeight="1">
      <c r="A1" s="412" t="s">
        <v>26</v>
      </c>
      <c r="B1" s="173"/>
      <c r="C1" s="46"/>
      <c r="D1" s="46"/>
      <c r="E1" s="46"/>
      <c r="F1" s="3"/>
      <c r="H1" s="772"/>
      <c r="I1" s="772"/>
      <c r="J1" s="772"/>
      <c r="K1" s="772"/>
      <c r="L1" s="772"/>
      <c r="M1" s="772"/>
      <c r="N1" s="772"/>
    </row>
    <row r="2" spans="1:15">
      <c r="A2" s="220"/>
      <c r="B2" s="221"/>
      <c r="C2" s="222"/>
      <c r="D2" s="221"/>
      <c r="E2" s="223"/>
      <c r="F2" s="224"/>
      <c r="H2" s="772"/>
      <c r="I2" s="772"/>
      <c r="J2" s="772"/>
      <c r="K2" s="772"/>
      <c r="L2" s="772"/>
      <c r="M2" s="772"/>
      <c r="N2" s="772"/>
    </row>
    <row r="3" spans="1:15" ht="14.25" customHeight="1">
      <c r="A3" s="289" t="str">
        <f>'1-Contractblad totaal'!A3</f>
        <v>Naam opdrachtgever</v>
      </c>
      <c r="B3" s="290" t="str">
        <f>'1-Contractblad totaal'!B3</f>
        <v>Elevantio</v>
      </c>
      <c r="C3" s="291"/>
      <c r="D3" s="221"/>
      <c r="E3" s="226"/>
      <c r="F3" s="227"/>
      <c r="H3" s="772"/>
      <c r="I3" s="772"/>
      <c r="J3" s="772"/>
      <c r="K3" s="772"/>
      <c r="L3" s="772"/>
      <c r="M3" s="772"/>
      <c r="N3" s="772"/>
    </row>
    <row r="4" spans="1:15" ht="15.75" customHeight="1">
      <c r="A4" s="289" t="str">
        <f>'1-Contractblad totaal'!A4</f>
        <v>Calculatie onderdeel</v>
      </c>
      <c r="B4" s="292" t="str">
        <f ca="1">MID(CELL("bestandsnaam",$C$9),SEARCH("]",CELL("bestandsnaam",$C$9),1)+1,256)</f>
        <v>7-Opbouw uurtarief toezicht</v>
      </c>
      <c r="C4" s="293"/>
      <c r="D4" s="230"/>
      <c r="H4" s="772"/>
      <c r="I4" s="772"/>
      <c r="J4" s="772"/>
      <c r="K4" s="772"/>
      <c r="L4" s="772"/>
      <c r="M4" s="772"/>
      <c r="N4" s="772"/>
    </row>
    <row r="5" spans="1:15" ht="15">
      <c r="A5" s="289" t="str">
        <f>'1-Contractblad totaal'!A5</f>
        <v>Gebouw/plaats</v>
      </c>
      <c r="B5" s="290" t="str">
        <f>'1-Contractblad totaal'!B5</f>
        <v>Markt 1, Axel</v>
      </c>
      <c r="C5" s="293"/>
      <c r="D5" s="230"/>
      <c r="H5" s="772"/>
      <c r="I5" s="772"/>
      <c r="J5" s="772"/>
      <c r="K5" s="772"/>
      <c r="L5" s="772"/>
      <c r="M5" s="772"/>
      <c r="N5" s="772"/>
    </row>
    <row r="6" spans="1:15" ht="15">
      <c r="A6" s="289" t="str">
        <f>'1-Contractblad totaal'!A6</f>
        <v>Referentie nummer</v>
      </c>
      <c r="B6" s="290" t="str">
        <f>'1-Contractblad totaal'!B6</f>
        <v>Elevantio-EA-LK-RT-2022</v>
      </c>
      <c r="C6" s="293"/>
      <c r="D6" s="230"/>
      <c r="H6" s="231"/>
      <c r="I6" s="231"/>
      <c r="J6" s="231"/>
      <c r="K6" s="231"/>
      <c r="L6" s="231"/>
      <c r="M6" s="231"/>
      <c r="N6" s="231"/>
    </row>
    <row r="7" spans="1:15" s="9" customFormat="1" ht="15">
      <c r="A7" s="289" t="str">
        <f>'1-Contractblad totaal'!A8</f>
        <v>Naam dienstverlener</v>
      </c>
      <c r="B7" s="290">
        <f>'1-Contractblad totaal'!B8</f>
        <v>0</v>
      </c>
      <c r="C7" s="293"/>
      <c r="D7" s="230"/>
      <c r="H7" s="231"/>
      <c r="I7" s="231"/>
      <c r="J7" s="231"/>
      <c r="K7" s="231"/>
      <c r="L7" s="231"/>
      <c r="M7" s="231"/>
      <c r="N7" s="231"/>
      <c r="O7" s="235"/>
    </row>
    <row r="8" spans="1:15" ht="15">
      <c r="A8" s="289" t="str">
        <f>'1-Contractblad totaal'!A9</f>
        <v>Prijspeil</v>
      </c>
      <c r="B8" s="114">
        <f>'1-Contractblad totaal'!B9</f>
        <v>44652</v>
      </c>
      <c r="C8" s="293"/>
      <c r="D8" s="230"/>
      <c r="I8" s="231"/>
      <c r="J8" s="231"/>
      <c r="K8" s="231"/>
      <c r="L8" s="231"/>
      <c r="M8" s="231"/>
      <c r="N8" s="231"/>
    </row>
    <row r="9" spans="1:15" ht="15">
      <c r="A9" s="225"/>
      <c r="B9" s="228"/>
      <c r="C9" s="229"/>
      <c r="D9" s="230"/>
      <c r="E9" s="232"/>
      <c r="F9" s="233"/>
    </row>
    <row r="10" spans="1:15" s="235" customFormat="1" ht="30.75" customHeight="1">
      <c r="A10" s="294" t="s">
        <v>198</v>
      </c>
      <c r="B10" s="295"/>
      <c r="C10" s="296"/>
      <c r="D10" s="234"/>
      <c r="E10" s="770" t="s">
        <v>197</v>
      </c>
      <c r="F10" s="776"/>
      <c r="H10" s="297" t="s">
        <v>144</v>
      </c>
      <c r="I10" s="769" t="s">
        <v>1128</v>
      </c>
      <c r="J10" s="769"/>
      <c r="K10" s="769"/>
      <c r="L10" s="769"/>
      <c r="M10" s="769"/>
      <c r="N10" s="769"/>
    </row>
    <row r="11" spans="1:15" ht="30" customHeight="1">
      <c r="A11" s="236"/>
      <c r="B11" s="237" t="s">
        <v>59</v>
      </c>
      <c r="C11" s="238" t="s">
        <v>59</v>
      </c>
      <c r="D11" s="230"/>
      <c r="E11" s="239"/>
      <c r="F11" s="240"/>
      <c r="H11" s="236"/>
      <c r="I11" s="483">
        <v>1</v>
      </c>
      <c r="J11" s="483">
        <v>2</v>
      </c>
      <c r="K11" s="483">
        <v>3</v>
      </c>
      <c r="L11" s="483">
        <v>4</v>
      </c>
      <c r="M11" s="483">
        <v>5</v>
      </c>
      <c r="N11" s="483">
        <v>6</v>
      </c>
    </row>
    <row r="12" spans="1:15" ht="12.75" customHeight="1">
      <c r="A12" s="236" t="s">
        <v>39</v>
      </c>
      <c r="B12" s="242"/>
      <c r="C12" s="243"/>
      <c r="D12" s="230"/>
      <c r="E12" s="244">
        <f>SUM(I34:N34)</f>
        <v>0</v>
      </c>
      <c r="F12" s="245"/>
      <c r="H12" s="442" t="s">
        <v>139</v>
      </c>
      <c r="I12" s="725"/>
      <c r="J12" s="725"/>
      <c r="K12" s="725"/>
      <c r="L12" s="725"/>
      <c r="M12" s="725"/>
      <c r="N12" s="725"/>
    </row>
    <row r="13" spans="1:15" ht="13.8">
      <c r="A13" s="236" t="s">
        <v>16</v>
      </c>
      <c r="B13" s="246"/>
      <c r="C13" s="247" t="s">
        <v>63</v>
      </c>
      <c r="D13" s="230"/>
      <c r="E13" s="417">
        <v>0</v>
      </c>
      <c r="F13" s="245"/>
      <c r="H13" s="442" t="s">
        <v>140</v>
      </c>
      <c r="I13" s="725"/>
      <c r="J13" s="725"/>
      <c r="K13" s="725"/>
      <c r="L13" s="725"/>
      <c r="M13" s="725"/>
      <c r="N13" s="725"/>
    </row>
    <row r="14" spans="1:15" ht="13.8">
      <c r="A14" s="248" t="s">
        <v>33</v>
      </c>
      <c r="B14" s="468"/>
      <c r="C14" s="250"/>
      <c r="D14" s="230"/>
      <c r="E14" s="417">
        <v>0</v>
      </c>
      <c r="F14" s="245"/>
      <c r="G14" s="47"/>
      <c r="H14" s="442" t="s">
        <v>141</v>
      </c>
      <c r="I14" s="725"/>
      <c r="J14" s="725"/>
      <c r="K14" s="725"/>
      <c r="L14" s="725"/>
      <c r="M14" s="725"/>
      <c r="N14" s="725"/>
    </row>
    <row r="15" spans="1:15" s="47" customFormat="1" ht="13.8">
      <c r="A15" s="384" t="s">
        <v>14</v>
      </c>
      <c r="B15" s="249"/>
      <c r="C15" s="250"/>
      <c r="D15" s="230"/>
      <c r="E15" s="388">
        <f>SUM(E12:E14)</f>
        <v>0</v>
      </c>
      <c r="F15" s="245"/>
      <c r="G15" s="4"/>
      <c r="H15" s="442" t="s">
        <v>142</v>
      </c>
      <c r="I15" s="725"/>
      <c r="J15" s="725"/>
      <c r="K15" s="725"/>
      <c r="L15" s="725"/>
      <c r="M15" s="725"/>
      <c r="N15" s="725"/>
    </row>
    <row r="16" spans="1:15" ht="13.8">
      <c r="A16" s="248"/>
      <c r="B16" s="252"/>
      <c r="C16" s="253"/>
      <c r="D16" s="230"/>
      <c r="E16" s="254"/>
      <c r="F16" s="245"/>
      <c r="H16" s="442" t="s">
        <v>143</v>
      </c>
      <c r="I16" s="725"/>
      <c r="J16" s="725"/>
      <c r="K16" s="725"/>
      <c r="L16" s="725"/>
      <c r="M16" s="725"/>
      <c r="N16" s="725"/>
    </row>
    <row r="17" spans="1:15" ht="13.8">
      <c r="A17" s="255" t="s">
        <v>55</v>
      </c>
      <c r="B17" s="256"/>
      <c r="C17" s="418">
        <v>0</v>
      </c>
      <c r="D17" s="230"/>
      <c r="E17" s="251">
        <f>$C17*E15</f>
        <v>0</v>
      </c>
      <c r="F17" s="245"/>
      <c r="H17" s="440"/>
      <c r="I17" s="441"/>
      <c r="J17" s="441"/>
      <c r="K17" s="441"/>
      <c r="L17" s="441"/>
      <c r="M17" s="441"/>
      <c r="N17" s="441"/>
    </row>
    <row r="18" spans="1:15" ht="13.8">
      <c r="A18" s="255" t="s">
        <v>83</v>
      </c>
      <c r="B18" s="256"/>
      <c r="C18" s="418">
        <v>0</v>
      </c>
      <c r="D18" s="230"/>
      <c r="E18" s="251">
        <f>$C18*E15</f>
        <v>0</v>
      </c>
      <c r="F18" s="245"/>
      <c r="G18" s="47"/>
      <c r="H18" s="297" t="s">
        <v>144</v>
      </c>
      <c r="I18" s="773" t="s">
        <v>147</v>
      </c>
      <c r="J18" s="774"/>
      <c r="K18" s="774"/>
      <c r="L18" s="774"/>
      <c r="M18" s="774"/>
      <c r="N18" s="775"/>
    </row>
    <row r="19" spans="1:15" s="47" customFormat="1" ht="13.8">
      <c r="A19" s="384" t="s">
        <v>51</v>
      </c>
      <c r="B19" s="257"/>
      <c r="C19" s="250"/>
      <c r="D19" s="230"/>
      <c r="E19" s="388">
        <f>SUM(E15:E18)</f>
        <v>0</v>
      </c>
      <c r="F19" s="258">
        <f>IF(E19=0,0,E19/E$47)</f>
        <v>0</v>
      </c>
      <c r="G19" s="4"/>
      <c r="H19" s="236"/>
      <c r="I19" s="241">
        <v>1</v>
      </c>
      <c r="J19" s="241">
        <v>2</v>
      </c>
      <c r="K19" s="241">
        <v>3</v>
      </c>
      <c r="L19" s="241">
        <v>4</v>
      </c>
      <c r="M19" s="241">
        <v>5</v>
      </c>
      <c r="N19" s="241">
        <v>6</v>
      </c>
    </row>
    <row r="20" spans="1:15" ht="13.8">
      <c r="A20" s="248"/>
      <c r="B20" s="252"/>
      <c r="C20" s="253"/>
      <c r="D20" s="230"/>
      <c r="E20" s="254"/>
      <c r="F20" s="245"/>
      <c r="H20" s="236" t="s">
        <v>139</v>
      </c>
      <c r="I20" s="420"/>
      <c r="J20" s="420"/>
      <c r="K20" s="420"/>
      <c r="L20" s="420"/>
      <c r="M20" s="420"/>
      <c r="N20" s="420"/>
    </row>
    <row r="21" spans="1:15" ht="13.8">
      <c r="A21" s="259" t="s">
        <v>56</v>
      </c>
      <c r="B21" s="256"/>
      <c r="C21" s="253"/>
      <c r="D21" s="260"/>
      <c r="E21" s="479">
        <f>E19*0.96</f>
        <v>0</v>
      </c>
      <c r="F21" s="261"/>
      <c r="G21" s="262"/>
      <c r="H21" s="236" t="s">
        <v>140</v>
      </c>
      <c r="I21" s="420"/>
      <c r="J21" s="420"/>
      <c r="K21" s="420"/>
      <c r="L21" s="420"/>
      <c r="M21" s="420"/>
      <c r="N21" s="420"/>
    </row>
    <row r="22" spans="1:15" s="262" customFormat="1" ht="13.8">
      <c r="A22" s="255" t="s">
        <v>67</v>
      </c>
      <c r="B22" s="256"/>
      <c r="C22" s="263" t="s">
        <v>44</v>
      </c>
      <c r="D22" s="230"/>
      <c r="E22" s="251" t="e">
        <f>E21*'5-Premies en opslagen'!$C24</f>
        <v>#DIV/0!</v>
      </c>
      <c r="F22" s="245"/>
      <c r="G22" s="4"/>
      <c r="H22" s="236" t="s">
        <v>141</v>
      </c>
      <c r="I22" s="420"/>
      <c r="J22" s="420"/>
      <c r="K22" s="420"/>
      <c r="L22" s="420"/>
      <c r="M22" s="420"/>
      <c r="N22" s="420"/>
      <c r="O22" s="4"/>
    </row>
    <row r="23" spans="1:15" ht="14.25" customHeight="1">
      <c r="A23" s="384" t="s">
        <v>64</v>
      </c>
      <c r="B23" s="257"/>
      <c r="C23" s="250"/>
      <c r="D23" s="230"/>
      <c r="E23" s="388" t="e">
        <f>E22+E19</f>
        <v>#DIV/0!</v>
      </c>
      <c r="F23" s="258" t="e">
        <f>IF(E23=0,0,E23/E$47)</f>
        <v>#DIV/0!</v>
      </c>
      <c r="H23" s="236" t="s">
        <v>142</v>
      </c>
      <c r="I23" s="420"/>
      <c r="J23" s="420"/>
      <c r="K23" s="420"/>
      <c r="L23" s="420"/>
      <c r="M23" s="420"/>
      <c r="N23" s="420"/>
      <c r="O23" s="262"/>
    </row>
    <row r="24" spans="1:15" ht="12.75" customHeight="1">
      <c r="A24" s="248"/>
      <c r="B24" s="257"/>
      <c r="C24" s="250"/>
      <c r="D24" s="230"/>
      <c r="E24" s="239"/>
      <c r="F24" s="245"/>
      <c r="H24" s="236" t="s">
        <v>143</v>
      </c>
      <c r="I24" s="420"/>
      <c r="J24" s="420"/>
      <c r="K24" s="420"/>
      <c r="L24" s="420"/>
      <c r="M24" s="420"/>
      <c r="N24" s="420"/>
    </row>
    <row r="25" spans="1:15" ht="12.75" customHeight="1">
      <c r="A25" s="255" t="s">
        <v>35</v>
      </c>
      <c r="B25" s="256"/>
      <c r="C25" s="263" t="s">
        <v>44</v>
      </c>
      <c r="D25" s="230"/>
      <c r="E25" s="251" t="e">
        <f>E23*'5-Premies en opslagen'!$B53</f>
        <v>#DIV/0!</v>
      </c>
      <c r="F25" s="245"/>
      <c r="H25" s="268" t="s">
        <v>146</v>
      </c>
      <c r="I25" s="444">
        <f t="shared" ref="I25:N25" si="0">SUM(I20:I24)</f>
        <v>0</v>
      </c>
      <c r="J25" s="444">
        <f t="shared" si="0"/>
        <v>0</v>
      </c>
      <c r="K25" s="444">
        <f t="shared" si="0"/>
        <v>0</v>
      </c>
      <c r="L25" s="444">
        <f t="shared" si="0"/>
        <v>0</v>
      </c>
      <c r="M25" s="444">
        <f t="shared" si="0"/>
        <v>0</v>
      </c>
      <c r="N25" s="444">
        <f t="shared" si="0"/>
        <v>0</v>
      </c>
      <c r="O25" s="65">
        <f>SUM(I25:N25)</f>
        <v>0</v>
      </c>
    </row>
    <row r="26" spans="1:15" ht="13.8">
      <c r="A26" s="384" t="s">
        <v>74</v>
      </c>
      <c r="B26" s="257"/>
      <c r="C26" s="250"/>
      <c r="D26" s="230"/>
      <c r="E26" s="388" t="e">
        <f>SUM(E23:E25)</f>
        <v>#DIV/0!</v>
      </c>
      <c r="F26" s="258" t="e">
        <f>IF(E26=0,0,E26/E$47)</f>
        <v>#DIV/0!</v>
      </c>
    </row>
    <row r="27" spans="1:15" ht="13.8">
      <c r="A27" s="248"/>
      <c r="B27" s="257"/>
      <c r="C27" s="250"/>
      <c r="D27" s="230"/>
      <c r="E27" s="239"/>
      <c r="F27" s="245"/>
      <c r="H27" s="452" t="s">
        <v>144</v>
      </c>
      <c r="I27" s="769" t="s">
        <v>148</v>
      </c>
      <c r="J27" s="769"/>
      <c r="K27" s="769"/>
      <c r="L27" s="769"/>
      <c r="M27" s="769"/>
      <c r="N27" s="769"/>
    </row>
    <row r="28" spans="1:15" ht="13.8">
      <c r="A28" s="248" t="s">
        <v>57</v>
      </c>
      <c r="B28" s="264"/>
      <c r="C28" s="247" t="s">
        <v>63</v>
      </c>
      <c r="D28" s="230"/>
      <c r="E28" s="417">
        <v>0</v>
      </c>
      <c r="F28" s="393">
        <v>0</v>
      </c>
      <c r="H28" s="453"/>
      <c r="I28" s="454">
        <v>1</v>
      </c>
      <c r="J28" s="454">
        <v>2</v>
      </c>
      <c r="K28" s="454">
        <v>3</v>
      </c>
      <c r="L28" s="454">
        <v>4</v>
      </c>
      <c r="M28" s="454">
        <v>5</v>
      </c>
      <c r="N28" s="454">
        <v>6</v>
      </c>
    </row>
    <row r="29" spans="1:15" ht="13.8">
      <c r="A29" s="248" t="s">
        <v>61</v>
      </c>
      <c r="B29" s="265"/>
      <c r="C29" s="247" t="s">
        <v>63</v>
      </c>
      <c r="D29" s="230"/>
      <c r="E29" s="417">
        <v>0</v>
      </c>
      <c r="F29" s="393">
        <v>0</v>
      </c>
      <c r="H29" s="236" t="s">
        <v>139</v>
      </c>
      <c r="I29" s="455">
        <f t="shared" ref="I29:N29" si="1">I20*I12</f>
        <v>0</v>
      </c>
      <c r="J29" s="455">
        <f t="shared" si="1"/>
        <v>0</v>
      </c>
      <c r="K29" s="455">
        <f t="shared" si="1"/>
        <v>0</v>
      </c>
      <c r="L29" s="455">
        <f t="shared" si="1"/>
        <v>0</v>
      </c>
      <c r="M29" s="455">
        <f t="shared" si="1"/>
        <v>0</v>
      </c>
      <c r="N29" s="456">
        <f t="shared" si="1"/>
        <v>0</v>
      </c>
    </row>
    <row r="30" spans="1:15" ht="13.8">
      <c r="A30" s="248" t="s">
        <v>62</v>
      </c>
      <c r="B30" s="257"/>
      <c r="C30" s="250" t="s">
        <v>59</v>
      </c>
      <c r="D30" s="230"/>
      <c r="E30" s="266" t="s">
        <v>19</v>
      </c>
      <c r="F30" s="245"/>
      <c r="H30" s="236" t="s">
        <v>140</v>
      </c>
      <c r="I30" s="455">
        <f t="shared" ref="I30:N30" si="2">I21*I13</f>
        <v>0</v>
      </c>
      <c r="J30" s="455">
        <f t="shared" si="2"/>
        <v>0</v>
      </c>
      <c r="K30" s="455">
        <f t="shared" si="2"/>
        <v>0</v>
      </c>
      <c r="L30" s="455">
        <f t="shared" si="2"/>
        <v>0</v>
      </c>
      <c r="M30" s="455">
        <f t="shared" si="2"/>
        <v>0</v>
      </c>
      <c r="N30" s="456">
        <f t="shared" si="2"/>
        <v>0</v>
      </c>
    </row>
    <row r="31" spans="1:15" ht="12.75" customHeight="1">
      <c r="A31" s="419"/>
      <c r="B31" s="469"/>
      <c r="C31" s="470" t="s">
        <v>59</v>
      </c>
      <c r="D31" s="230"/>
      <c r="E31" s="417"/>
      <c r="F31" s="245"/>
      <c r="H31" s="236" t="s">
        <v>141</v>
      </c>
      <c r="I31" s="455">
        <f t="shared" ref="I31:N31" si="3">I22*I14</f>
        <v>0</v>
      </c>
      <c r="J31" s="455">
        <f t="shared" si="3"/>
        <v>0</v>
      </c>
      <c r="K31" s="455">
        <f t="shared" si="3"/>
        <v>0</v>
      </c>
      <c r="L31" s="455">
        <f t="shared" si="3"/>
        <v>0</v>
      </c>
      <c r="M31" s="455">
        <f t="shared" si="3"/>
        <v>0</v>
      </c>
      <c r="N31" s="456">
        <f t="shared" si="3"/>
        <v>0</v>
      </c>
    </row>
    <row r="32" spans="1:15" ht="12.75" customHeight="1">
      <c r="A32" s="384" t="s">
        <v>53</v>
      </c>
      <c r="B32" s="257"/>
      <c r="C32" s="250"/>
      <c r="D32" s="230"/>
      <c r="E32" s="388" t="e">
        <f>SUM(E26:E31)</f>
        <v>#DIV/0!</v>
      </c>
      <c r="F32" s="258" t="e">
        <f>IF(E32=0,0,E32/E$47)</f>
        <v>#DIV/0!</v>
      </c>
      <c r="H32" s="236" t="s">
        <v>142</v>
      </c>
      <c r="I32" s="455">
        <f t="shared" ref="I32:N32" si="4">I23*I15</f>
        <v>0</v>
      </c>
      <c r="J32" s="455">
        <f t="shared" si="4"/>
        <v>0</v>
      </c>
      <c r="K32" s="455">
        <f t="shared" si="4"/>
        <v>0</v>
      </c>
      <c r="L32" s="455">
        <f t="shared" si="4"/>
        <v>0</v>
      </c>
      <c r="M32" s="455">
        <f t="shared" si="4"/>
        <v>0</v>
      </c>
      <c r="N32" s="456">
        <f t="shared" si="4"/>
        <v>0</v>
      </c>
    </row>
    <row r="33" spans="1:14" ht="12.75" customHeight="1">
      <c r="A33" s="248"/>
      <c r="B33" s="257"/>
      <c r="C33" s="250"/>
      <c r="D33" s="230"/>
      <c r="E33" s="239"/>
      <c r="F33" s="245"/>
      <c r="H33" s="453" t="s">
        <v>143</v>
      </c>
      <c r="I33" s="455">
        <f t="shared" ref="I33:N33" si="5">I24*I16</f>
        <v>0</v>
      </c>
      <c r="J33" s="455">
        <f t="shared" si="5"/>
        <v>0</v>
      </c>
      <c r="K33" s="455">
        <f t="shared" si="5"/>
        <v>0</v>
      </c>
      <c r="L33" s="455">
        <f t="shared" si="5"/>
        <v>0</v>
      </c>
      <c r="M33" s="455">
        <f t="shared" si="5"/>
        <v>0</v>
      </c>
      <c r="N33" s="456">
        <f t="shared" si="5"/>
        <v>0</v>
      </c>
    </row>
    <row r="34" spans="1:14" ht="12.75" customHeight="1">
      <c r="A34" s="248" t="s">
        <v>75</v>
      </c>
      <c r="B34" s="257"/>
      <c r="C34" s="267"/>
      <c r="D34" s="230"/>
      <c r="E34" s="417">
        <v>0</v>
      </c>
      <c r="F34" s="480" t="e">
        <f>E34/$E$47</f>
        <v>#DIV/0!</v>
      </c>
      <c r="H34" s="457" t="s">
        <v>146</v>
      </c>
      <c r="I34" s="458">
        <f t="shared" ref="I34:N34" si="6">SUM(I29:I33)</f>
        <v>0</v>
      </c>
      <c r="J34" s="458">
        <f t="shared" si="6"/>
        <v>0</v>
      </c>
      <c r="K34" s="458">
        <f t="shared" si="6"/>
        <v>0</v>
      </c>
      <c r="L34" s="458">
        <f t="shared" si="6"/>
        <v>0</v>
      </c>
      <c r="M34" s="458">
        <f t="shared" si="6"/>
        <v>0</v>
      </c>
      <c r="N34" s="458">
        <f t="shared" si="6"/>
        <v>0</v>
      </c>
    </row>
    <row r="35" spans="1:14" ht="12.75" customHeight="1">
      <c r="A35" s="248" t="s">
        <v>34</v>
      </c>
      <c r="B35" s="257"/>
      <c r="C35" s="267"/>
      <c r="D35" s="230"/>
      <c r="E35" s="417">
        <v>0</v>
      </c>
      <c r="F35" s="480" t="e">
        <f t="shared" ref="F35:F41" si="7">E35/$E$47</f>
        <v>#DIV/0!</v>
      </c>
      <c r="H35" s="262"/>
      <c r="I35" s="262"/>
      <c r="J35" s="262"/>
      <c r="K35" s="262"/>
      <c r="L35" s="262"/>
      <c r="M35" s="262"/>
      <c r="N35" s="262"/>
    </row>
    <row r="36" spans="1:14" ht="14.25" customHeight="1">
      <c r="A36" s="248" t="s">
        <v>25</v>
      </c>
      <c r="B36" s="257"/>
      <c r="C36" s="267"/>
      <c r="D36" s="230"/>
      <c r="E36" s="417">
        <v>0</v>
      </c>
      <c r="F36" s="480" t="e">
        <f t="shared" si="7"/>
        <v>#DIV/0!</v>
      </c>
      <c r="H36" s="262"/>
      <c r="I36" s="262"/>
      <c r="J36" s="262"/>
      <c r="K36" s="262"/>
      <c r="L36" s="262"/>
      <c r="M36" s="262"/>
      <c r="N36" s="262"/>
    </row>
    <row r="37" spans="1:14" ht="13.8">
      <c r="A37" s="248" t="s">
        <v>3</v>
      </c>
      <c r="B37" s="257"/>
      <c r="C37" s="269"/>
      <c r="D37" s="230"/>
      <c r="E37" s="417">
        <v>0</v>
      </c>
      <c r="F37" s="480" t="e">
        <f t="shared" si="7"/>
        <v>#DIV/0!</v>
      </c>
      <c r="H37" s="262"/>
      <c r="I37" s="262"/>
      <c r="J37" s="262"/>
      <c r="K37" s="262"/>
      <c r="L37" s="262"/>
      <c r="M37" s="262"/>
      <c r="N37" s="262"/>
    </row>
    <row r="38" spans="1:14" ht="13.8">
      <c r="A38" s="248" t="s">
        <v>32</v>
      </c>
      <c r="B38" s="257"/>
      <c r="C38" s="267"/>
      <c r="D38" s="230"/>
      <c r="E38" s="417">
        <v>0</v>
      </c>
      <c r="F38" s="480" t="e">
        <f t="shared" si="7"/>
        <v>#DIV/0!</v>
      </c>
      <c r="H38" s="164"/>
      <c r="I38" s="164"/>
      <c r="J38" s="164"/>
      <c r="K38" s="164"/>
      <c r="L38" s="164"/>
      <c r="M38" s="164"/>
      <c r="N38" s="164"/>
    </row>
    <row r="39" spans="1:14" ht="13.8">
      <c r="A39" s="248" t="s">
        <v>29</v>
      </c>
      <c r="B39" s="257"/>
      <c r="C39" s="269"/>
      <c r="D39" s="230"/>
      <c r="E39" s="417">
        <v>0</v>
      </c>
      <c r="F39" s="480" t="e">
        <f t="shared" si="7"/>
        <v>#DIV/0!</v>
      </c>
      <c r="H39" s="164"/>
      <c r="I39" s="164"/>
      <c r="J39" s="164"/>
      <c r="K39" s="164"/>
      <c r="L39" s="164"/>
      <c r="M39" s="164"/>
      <c r="N39" s="164"/>
    </row>
    <row r="40" spans="1:14" ht="13.8">
      <c r="A40" s="248" t="s">
        <v>68</v>
      </c>
      <c r="B40" s="257"/>
      <c r="C40" s="247" t="s">
        <v>63</v>
      </c>
      <c r="D40" s="230"/>
      <c r="E40" s="417">
        <v>0</v>
      </c>
      <c r="F40" s="480" t="e">
        <f t="shared" si="7"/>
        <v>#DIV/0!</v>
      </c>
      <c r="H40" s="164"/>
      <c r="I40" s="164"/>
      <c r="J40" s="164"/>
      <c r="K40" s="164"/>
      <c r="L40" s="164"/>
      <c r="M40" s="164"/>
      <c r="N40" s="164"/>
    </row>
    <row r="41" spans="1:14" ht="13.8">
      <c r="A41" s="248" t="s">
        <v>82</v>
      </c>
      <c r="B41" s="257"/>
      <c r="C41" s="247"/>
      <c r="D41" s="230"/>
      <c r="E41" s="417">
        <v>0</v>
      </c>
      <c r="F41" s="480" t="e">
        <f t="shared" si="7"/>
        <v>#DIV/0!</v>
      </c>
      <c r="H41" s="164"/>
      <c r="I41" s="164"/>
      <c r="J41" s="164"/>
      <c r="K41" s="164"/>
      <c r="L41" s="164"/>
      <c r="M41" s="164"/>
      <c r="N41" s="164"/>
    </row>
    <row r="42" spans="1:14" ht="13.8">
      <c r="A42" s="419"/>
      <c r="B42" s="469"/>
      <c r="C42" s="471"/>
      <c r="D42" s="230"/>
      <c r="E42" s="417">
        <v>0</v>
      </c>
      <c r="F42" s="245"/>
      <c r="H42" s="164"/>
      <c r="I42" s="164"/>
      <c r="J42" s="164"/>
      <c r="K42" s="164"/>
      <c r="L42" s="164"/>
      <c r="M42" s="164"/>
      <c r="N42" s="164"/>
    </row>
    <row r="43" spans="1:14" ht="13.8">
      <c r="A43" s="384" t="s">
        <v>69</v>
      </c>
      <c r="B43" s="257"/>
      <c r="C43" s="250"/>
      <c r="D43" s="230"/>
      <c r="E43" s="388" t="e">
        <f>SUM(E32:E42)</f>
        <v>#DIV/0!</v>
      </c>
      <c r="F43" s="258" t="e">
        <f>IF(E43=0,0,E43/E$47)</f>
        <v>#DIV/0!</v>
      </c>
      <c r="H43" s="164"/>
      <c r="I43" s="164"/>
      <c r="J43" s="164"/>
      <c r="K43" s="164"/>
      <c r="L43" s="164"/>
      <c r="M43" s="164"/>
      <c r="N43" s="164"/>
    </row>
    <row r="44" spans="1:14" ht="13.8">
      <c r="A44" s="248"/>
      <c r="B44" s="257"/>
      <c r="C44" s="250"/>
      <c r="D44" s="230"/>
      <c r="E44" s="239"/>
      <c r="F44" s="270"/>
      <c r="H44" s="164"/>
      <c r="I44" s="164"/>
      <c r="J44" s="164"/>
      <c r="K44" s="164"/>
      <c r="L44" s="164"/>
      <c r="M44" s="164"/>
      <c r="N44" s="164"/>
    </row>
    <row r="45" spans="1:14" ht="13.8">
      <c r="A45" s="248" t="s">
        <v>70</v>
      </c>
      <c r="B45" s="257"/>
      <c r="C45" s="269"/>
      <c r="D45" s="230"/>
      <c r="E45" s="417">
        <v>0</v>
      </c>
      <c r="F45" s="258">
        <f>(IF(E45=0,0,E45/E$47))</f>
        <v>0</v>
      </c>
      <c r="H45" s="164"/>
      <c r="I45" s="164"/>
      <c r="J45" s="164"/>
      <c r="K45" s="164"/>
      <c r="L45" s="164"/>
      <c r="M45" s="164"/>
      <c r="N45" s="164"/>
    </row>
    <row r="46" spans="1:14" ht="13.8">
      <c r="A46" s="248"/>
      <c r="B46" s="249"/>
      <c r="C46" s="250"/>
      <c r="D46" s="230"/>
      <c r="E46" s="239"/>
      <c r="F46" s="245"/>
      <c r="H46" s="164"/>
      <c r="I46" s="164"/>
      <c r="J46" s="164"/>
      <c r="K46" s="164"/>
      <c r="L46" s="164"/>
      <c r="M46" s="164"/>
      <c r="N46" s="164"/>
    </row>
    <row r="47" spans="1:14" ht="13.8">
      <c r="A47" s="384" t="s">
        <v>45</v>
      </c>
      <c r="B47" s="300"/>
      <c r="C47" s="271"/>
      <c r="D47" s="230"/>
      <c r="E47" s="389" t="e">
        <f>SUM(E43:E46)</f>
        <v>#DIV/0!</v>
      </c>
      <c r="F47" s="391" t="e">
        <f>SUM(F43:F46)</f>
        <v>#DIV/0!</v>
      </c>
      <c r="H47" s="164"/>
      <c r="I47" s="164"/>
      <c r="J47" s="164"/>
      <c r="K47" s="164"/>
      <c r="L47" s="164"/>
      <c r="M47" s="164"/>
      <c r="N47" s="164"/>
    </row>
    <row r="48" spans="1:14" ht="13.8">
      <c r="A48" s="172"/>
      <c r="B48" s="272"/>
      <c r="C48" s="273"/>
      <c r="D48" s="230"/>
      <c r="E48" s="9"/>
      <c r="F48" s="274"/>
      <c r="H48" s="164"/>
      <c r="I48" s="164"/>
      <c r="J48" s="164"/>
      <c r="K48" s="164"/>
      <c r="L48" s="164"/>
      <c r="M48" s="164"/>
      <c r="N48" s="164"/>
    </row>
    <row r="49" spans="1:15" ht="13.8">
      <c r="A49" s="276" t="s">
        <v>208</v>
      </c>
      <c r="B49" s="277"/>
      <c r="C49" s="278"/>
      <c r="D49" s="262"/>
      <c r="E49" s="279" t="e">
        <f>(E$26*1.3)+($E$47-$E$26)</f>
        <v>#DIV/0!</v>
      </c>
      <c r="F49" s="280"/>
      <c r="G49" s="262"/>
      <c r="H49" s="164"/>
      <c r="I49" s="164"/>
      <c r="J49" s="164"/>
      <c r="K49" s="164"/>
      <c r="L49" s="164"/>
      <c r="M49" s="164"/>
      <c r="N49" s="164"/>
    </row>
    <row r="50" spans="1:15" s="262" customFormat="1" ht="13.8">
      <c r="A50" s="281"/>
      <c r="B50" s="282"/>
      <c r="C50" s="283"/>
      <c r="E50" s="281"/>
      <c r="F50" s="281"/>
      <c r="H50" s="164"/>
      <c r="I50" s="164"/>
      <c r="J50" s="164"/>
      <c r="K50" s="164"/>
      <c r="L50" s="164"/>
      <c r="M50" s="164"/>
      <c r="N50" s="164"/>
    </row>
    <row r="51" spans="1:15" s="262" customFormat="1" ht="13.8">
      <c r="A51" s="276" t="s">
        <v>49</v>
      </c>
      <c r="B51" s="277"/>
      <c r="C51" s="278"/>
      <c r="E51" s="279" t="e">
        <f>(E$26*1.5)+($E$47-$E$26)</f>
        <v>#DIV/0!</v>
      </c>
      <c r="F51" s="280"/>
      <c r="H51" s="164"/>
      <c r="I51" s="164"/>
      <c r="J51" s="164"/>
      <c r="K51" s="164"/>
      <c r="L51" s="164"/>
      <c r="M51" s="164"/>
      <c r="N51" s="164"/>
    </row>
    <row r="52" spans="1:15" s="262" customFormat="1" ht="13.8">
      <c r="A52" s="281"/>
      <c r="B52" s="282"/>
      <c r="C52" s="283"/>
      <c r="E52" s="281"/>
      <c r="F52" s="281"/>
      <c r="H52" s="164"/>
      <c r="I52" s="164"/>
      <c r="J52" s="164"/>
      <c r="K52" s="164"/>
      <c r="L52" s="164"/>
      <c r="M52" s="164"/>
      <c r="N52" s="164"/>
    </row>
    <row r="53" spans="1:15" s="262" customFormat="1" ht="13.8">
      <c r="A53" s="276" t="s">
        <v>80</v>
      </c>
      <c r="B53" s="277"/>
      <c r="C53" s="278"/>
      <c r="E53" s="279" t="e">
        <f>(E$26*2.5)+($E$47-$E$26)</f>
        <v>#DIV/0!</v>
      </c>
      <c r="F53" s="284"/>
      <c r="H53" s="164"/>
      <c r="I53" s="164"/>
      <c r="J53" s="164"/>
      <c r="K53" s="164"/>
      <c r="L53" s="164"/>
      <c r="M53" s="164"/>
      <c r="N53" s="164"/>
    </row>
    <row r="54" spans="1:15" s="262" customFormat="1" ht="13.8">
      <c r="A54" s="164"/>
      <c r="B54" s="285"/>
      <c r="C54" s="286"/>
      <c r="D54" s="164"/>
      <c r="E54" s="164"/>
      <c r="F54" s="287"/>
      <c r="G54" s="164"/>
      <c r="H54" s="164"/>
      <c r="I54" s="164"/>
      <c r="J54" s="164"/>
      <c r="K54" s="164"/>
      <c r="L54" s="164"/>
      <c r="M54" s="164"/>
      <c r="N54" s="164"/>
    </row>
    <row r="55" spans="1:15" s="164" customFormat="1" ht="13.8">
      <c r="B55" s="285"/>
      <c r="C55" s="286"/>
      <c r="F55" s="287"/>
    </row>
    <row r="56" spans="1:15" s="164" customFormat="1">
      <c r="C56" s="288"/>
      <c r="F56" s="287"/>
    </row>
    <row r="57" spans="1:15" s="164" customFormat="1">
      <c r="C57" s="288"/>
      <c r="F57" s="287"/>
    </row>
    <row r="58" spans="1:15" s="164" customFormat="1">
      <c r="A58" s="47"/>
      <c r="C58" s="288"/>
      <c r="F58" s="287"/>
    </row>
    <row r="59" spans="1:15" s="164" customFormat="1">
      <c r="C59" s="288"/>
      <c r="F59" s="287"/>
    </row>
    <row r="60" spans="1:15" s="164" customFormat="1">
      <c r="C60" s="288"/>
      <c r="F60" s="287"/>
    </row>
    <row r="61" spans="1:15" s="164" customFormat="1">
      <c r="C61" s="288"/>
      <c r="F61" s="287"/>
    </row>
    <row r="62" spans="1:15" s="164" customFormat="1">
      <c r="C62" s="288"/>
      <c r="F62" s="287"/>
      <c r="H62" s="4"/>
      <c r="I62" s="4"/>
      <c r="J62" s="4"/>
      <c r="K62" s="4"/>
      <c r="L62" s="4"/>
      <c r="M62" s="4"/>
      <c r="N62" s="4"/>
    </row>
    <row r="63" spans="1:15" s="164" customFormat="1">
      <c r="C63" s="288"/>
      <c r="F63" s="287"/>
      <c r="H63" s="4"/>
      <c r="I63" s="4"/>
      <c r="J63" s="4"/>
      <c r="K63" s="4"/>
      <c r="L63" s="4"/>
      <c r="M63" s="4"/>
      <c r="N63" s="4"/>
    </row>
    <row r="64" spans="1:15" s="164" customFormat="1">
      <c r="C64" s="288"/>
      <c r="F64" s="287"/>
      <c r="H64" s="4"/>
      <c r="I64" s="4"/>
      <c r="J64" s="4"/>
      <c r="K64" s="4"/>
      <c r="L64" s="4"/>
      <c r="M64" s="4"/>
      <c r="N64" s="4"/>
      <c r="O64" s="4"/>
    </row>
    <row r="65" spans="1:15" s="164" customFormat="1">
      <c r="C65" s="288"/>
      <c r="F65" s="287"/>
      <c r="H65" s="4"/>
      <c r="I65" s="4"/>
      <c r="J65" s="4"/>
      <c r="K65" s="4"/>
      <c r="L65" s="4"/>
      <c r="M65" s="4"/>
      <c r="N65" s="4"/>
      <c r="O65" s="262"/>
    </row>
    <row r="66" spans="1:15" s="164" customFormat="1">
      <c r="A66" s="4"/>
      <c r="B66" s="4"/>
      <c r="C66" s="4"/>
      <c r="D66" s="4"/>
      <c r="E66" s="4"/>
      <c r="F66" s="4"/>
      <c r="G66" s="4"/>
      <c r="H66" s="4"/>
      <c r="I66" s="4"/>
      <c r="J66" s="4"/>
      <c r="K66" s="4"/>
      <c r="L66" s="4"/>
      <c r="M66" s="4"/>
      <c r="N66" s="4"/>
      <c r="O66" s="262"/>
    </row>
    <row r="67" spans="1:15">
      <c r="O67" s="262"/>
    </row>
    <row r="68" spans="1:15">
      <c r="O68" s="164"/>
    </row>
    <row r="69" spans="1:15">
      <c r="O69" s="164"/>
    </row>
    <row r="70" spans="1:15">
      <c r="O70" s="164"/>
    </row>
    <row r="71" spans="1:15">
      <c r="O71" s="164"/>
    </row>
    <row r="72" spans="1:15">
      <c r="O72" s="164"/>
    </row>
    <row r="73" spans="1:15">
      <c r="O73" s="164"/>
    </row>
    <row r="74" spans="1:15">
      <c r="O74" s="164"/>
    </row>
    <row r="75" spans="1:15">
      <c r="O75" s="164"/>
    </row>
    <row r="76" spans="1:15">
      <c r="O76" s="164"/>
    </row>
    <row r="77" spans="1:15">
      <c r="O77" s="164"/>
    </row>
    <row r="78" spans="1:15">
      <c r="O78" s="164"/>
    </row>
    <row r="79" spans="1:15">
      <c r="O79" s="164"/>
    </row>
    <row r="80" spans="1:15">
      <c r="O80" s="164"/>
    </row>
  </sheetData>
  <mergeCells count="7">
    <mergeCell ref="E10:F10"/>
    <mergeCell ref="I10:N10"/>
    <mergeCell ref="I27:N27"/>
    <mergeCell ref="H1:N2"/>
    <mergeCell ref="H3:N3"/>
    <mergeCell ref="H4:N5"/>
    <mergeCell ref="I18:N18"/>
  </mergeCells>
  <conditionalFormatting sqref="O25">
    <cfRule type="cellIs" dxfId="8" priority="1" operator="greaterThan">
      <formula>1</formula>
    </cfRule>
    <cfRule type="cellIs" dxfId="7" priority="2" operator="between">
      <formula>0.999999</formula>
      <formula>0</formula>
    </cfRule>
    <cfRule type="cellIs" dxfId="6" priority="3" operator="equal">
      <formula>1</formula>
    </cfRule>
  </conditionalFormatting>
  <pageMargins left="0.7" right="0.7" top="0.75" bottom="0.75" header="0.3" footer="0.3"/>
  <pageSetup paperSize="9" scale="60" fitToHeight="0" orientation="landscape" r:id="rId1"/>
  <headerFooter>
    <oddFooter>&amp;L&amp;F-&amp;A
Atir b.v.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G57"/>
  <sheetViews>
    <sheetView showGridLines="0" zoomScaleNormal="100" workbookViewId="0">
      <pane ySplit="10" topLeftCell="A11" activePane="bottomLeft" state="frozen"/>
      <selection activeCell="D33" sqref="D33"/>
      <selection pane="bottomLeft" activeCell="D57" sqref="D57"/>
    </sheetView>
  </sheetViews>
  <sheetFormatPr defaultColWidth="9.109375" defaultRowHeight="13.2"/>
  <cols>
    <col min="1" max="1" width="37.33203125" style="4" customWidth="1"/>
    <col min="2" max="2" width="30.44140625" style="4" bestFit="1" customWidth="1"/>
    <col min="3" max="3" width="16.88671875" style="4" customWidth="1"/>
    <col min="4" max="4" width="12.88671875" style="4" customWidth="1"/>
    <col min="5" max="5" width="11.109375" style="4" customWidth="1"/>
    <col min="6" max="6" width="12.109375" style="4" bestFit="1" customWidth="1"/>
    <col min="7" max="7" width="16" style="4" customWidth="1"/>
    <col min="8" max="8" width="19.88671875" style="4" customWidth="1"/>
    <col min="9" max="16384" width="9.109375" style="4"/>
  </cols>
  <sheetData>
    <row r="1" spans="1:7">
      <c r="A1" s="421" t="s">
        <v>26</v>
      </c>
    </row>
    <row r="3" spans="1:7" ht="15">
      <c r="A3" s="81" t="str">
        <f>'1-Contractblad totaal'!A3</f>
        <v>Naam opdrachtgever</v>
      </c>
      <c r="B3" s="140" t="str">
        <f>'1-Contractblad totaal'!B3</f>
        <v>Elevantio</v>
      </c>
      <c r="C3" s="140"/>
    </row>
    <row r="4" spans="1:7" ht="15">
      <c r="A4" s="81" t="str">
        <f>'1-Contractblad totaal'!A4</f>
        <v>Calculatie onderdeel</v>
      </c>
      <c r="B4" s="140" t="str">
        <f ca="1">MID(CELL("bestandsnaam",$D$9),SEARCH("]",CELL("bestandsnaam",$D$9),1)+1,256)</f>
        <v>8-Additionele werkzaamheden</v>
      </c>
      <c r="C4" s="140"/>
    </row>
    <row r="5" spans="1:7" ht="15">
      <c r="A5" s="81" t="str">
        <f>'1-Contractblad totaal'!A5</f>
        <v>Gebouw/plaats</v>
      </c>
      <c r="B5" s="140" t="str">
        <f>'1-Contractblad totaal'!B5</f>
        <v>Markt 1, Axel</v>
      </c>
      <c r="C5" s="140"/>
    </row>
    <row r="6" spans="1:7" ht="15">
      <c r="A6" s="81" t="str">
        <f>'1-Contractblad totaal'!A6</f>
        <v>Referentie nummer</v>
      </c>
      <c r="B6" s="140" t="str">
        <f>'1-Contractblad totaal'!B6</f>
        <v>Elevantio-EA-LK-RT-2022</v>
      </c>
      <c r="C6" s="140"/>
    </row>
    <row r="7" spans="1:7" ht="15" customHeight="1">
      <c r="A7" s="81" t="str">
        <f>'1-Contractblad totaal'!A8</f>
        <v>Naam dienstverlener</v>
      </c>
      <c r="B7" s="140">
        <f>'1-Contractblad totaal'!B8</f>
        <v>0</v>
      </c>
      <c r="C7" s="140"/>
      <c r="F7" s="302"/>
      <c r="G7" s="302"/>
    </row>
    <row r="8" spans="1:7" ht="15">
      <c r="A8" s="81" t="str">
        <f>'1-Contractblad totaal'!A9</f>
        <v>Prijspeil</v>
      </c>
      <c r="B8" s="114">
        <f>'1-Contractblad totaal'!B9</f>
        <v>44652</v>
      </c>
      <c r="C8" s="114"/>
      <c r="F8" s="302"/>
      <c r="G8" s="302"/>
    </row>
    <row r="10" spans="1:7" ht="25.2">
      <c r="A10" s="308" t="s">
        <v>103</v>
      </c>
      <c r="B10" s="308" t="s">
        <v>157</v>
      </c>
      <c r="C10" s="308" t="s">
        <v>92</v>
      </c>
      <c r="D10" s="308" t="s">
        <v>155</v>
      </c>
      <c r="E10" s="308" t="s">
        <v>104</v>
      </c>
      <c r="F10" s="308" t="s">
        <v>1117</v>
      </c>
      <c r="G10" s="308" t="s">
        <v>156</v>
      </c>
    </row>
    <row r="11" spans="1:7">
      <c r="A11" s="485" t="s">
        <v>255</v>
      </c>
      <c r="B11" s="303" t="s">
        <v>226</v>
      </c>
      <c r="C11" s="460" t="s">
        <v>18</v>
      </c>
      <c r="D11" s="656">
        <v>43.999999761581421</v>
      </c>
      <c r="E11" s="304">
        <v>2</v>
      </c>
      <c r="F11" s="423"/>
      <c r="G11" s="305">
        <f>D11*E11*F11</f>
        <v>0</v>
      </c>
    </row>
    <row r="12" spans="1:7">
      <c r="A12" s="485" t="s">
        <v>246</v>
      </c>
      <c r="B12" s="303" t="s">
        <v>226</v>
      </c>
      <c r="C12" s="460" t="s">
        <v>18</v>
      </c>
      <c r="D12" s="656">
        <v>29.1</v>
      </c>
      <c r="E12" s="304">
        <v>2</v>
      </c>
      <c r="F12" s="423"/>
      <c r="G12" s="305">
        <f t="shared" ref="G12:G55" si="0">D12*E12*F12</f>
        <v>0</v>
      </c>
    </row>
    <row r="13" spans="1:7">
      <c r="A13" s="485" t="s">
        <v>236</v>
      </c>
      <c r="B13" s="303" t="s">
        <v>226</v>
      </c>
      <c r="C13" s="460" t="s">
        <v>18</v>
      </c>
      <c r="D13" s="656">
        <v>41.5</v>
      </c>
      <c r="E13" s="304">
        <v>2</v>
      </c>
      <c r="F13" s="423"/>
      <c r="G13" s="305">
        <f t="shared" si="0"/>
        <v>0</v>
      </c>
    </row>
    <row r="14" spans="1:7">
      <c r="A14" s="485" t="s">
        <v>929</v>
      </c>
      <c r="B14" s="303" t="s">
        <v>226</v>
      </c>
      <c r="C14" s="460" t="s">
        <v>18</v>
      </c>
      <c r="D14" s="656">
        <v>54.5</v>
      </c>
      <c r="E14" s="304">
        <v>2</v>
      </c>
      <c r="F14" s="423"/>
      <c r="G14" s="305">
        <f t="shared" si="0"/>
        <v>0</v>
      </c>
    </row>
    <row r="15" spans="1:7">
      <c r="A15" s="485" t="s">
        <v>277</v>
      </c>
      <c r="B15" s="303" t="s">
        <v>226</v>
      </c>
      <c r="C15" s="460" t="s">
        <v>18</v>
      </c>
      <c r="D15" s="656">
        <v>9.9</v>
      </c>
      <c r="E15" s="304">
        <v>2</v>
      </c>
      <c r="F15" s="423"/>
      <c r="G15" s="305">
        <f t="shared" si="0"/>
        <v>0</v>
      </c>
    </row>
    <row r="16" spans="1:7">
      <c r="A16" s="485" t="s">
        <v>243</v>
      </c>
      <c r="B16" s="303" t="s">
        <v>226</v>
      </c>
      <c r="C16" s="460" t="s">
        <v>18</v>
      </c>
      <c r="D16" s="656">
        <v>48.500000238418579</v>
      </c>
      <c r="E16" s="304">
        <v>2</v>
      </c>
      <c r="F16" s="423"/>
      <c r="G16" s="305">
        <f t="shared" si="0"/>
        <v>0</v>
      </c>
    </row>
    <row r="17" spans="1:7">
      <c r="A17" s="485" t="s">
        <v>228</v>
      </c>
      <c r="B17" s="303" t="s">
        <v>226</v>
      </c>
      <c r="C17" s="460" t="s">
        <v>18</v>
      </c>
      <c r="D17" s="656">
        <v>25.9</v>
      </c>
      <c r="E17" s="304">
        <v>2</v>
      </c>
      <c r="F17" s="423"/>
      <c r="G17" s="305">
        <f t="shared" si="0"/>
        <v>0</v>
      </c>
    </row>
    <row r="18" spans="1:7">
      <c r="A18" s="485" t="s">
        <v>247</v>
      </c>
      <c r="B18" s="303" t="s">
        <v>226</v>
      </c>
      <c r="C18" s="460" t="s">
        <v>18</v>
      </c>
      <c r="D18" s="656">
        <v>28.199999809265137</v>
      </c>
      <c r="E18" s="304">
        <v>2</v>
      </c>
      <c r="F18" s="423"/>
      <c r="G18" s="305">
        <f t="shared" si="0"/>
        <v>0</v>
      </c>
    </row>
    <row r="19" spans="1:7">
      <c r="A19" s="485" t="s">
        <v>239</v>
      </c>
      <c r="B19" s="303" t="s">
        <v>226</v>
      </c>
      <c r="C19" s="460" t="s">
        <v>18</v>
      </c>
      <c r="D19" s="656">
        <v>73.037999999999997</v>
      </c>
      <c r="E19" s="304">
        <v>2</v>
      </c>
      <c r="F19" s="423"/>
      <c r="G19" s="305">
        <f t="shared" si="0"/>
        <v>0</v>
      </c>
    </row>
    <row r="20" spans="1:7">
      <c r="A20" s="485" t="s">
        <v>234</v>
      </c>
      <c r="B20" s="303" t="s">
        <v>226</v>
      </c>
      <c r="C20" s="460" t="s">
        <v>18</v>
      </c>
      <c r="D20" s="656">
        <v>36.199999809265137</v>
      </c>
      <c r="E20" s="304">
        <v>2</v>
      </c>
      <c r="F20" s="423"/>
      <c r="G20" s="305">
        <f t="shared" si="0"/>
        <v>0</v>
      </c>
    </row>
    <row r="21" spans="1:7">
      <c r="A21" s="485" t="s">
        <v>256</v>
      </c>
      <c r="B21" s="303" t="s">
        <v>226</v>
      </c>
      <c r="C21" s="460" t="s">
        <v>18</v>
      </c>
      <c r="D21" s="656">
        <v>67.000000953674316</v>
      </c>
      <c r="E21" s="304">
        <v>2</v>
      </c>
      <c r="F21" s="423"/>
      <c r="G21" s="305">
        <f t="shared" si="0"/>
        <v>0</v>
      </c>
    </row>
    <row r="22" spans="1:7">
      <c r="A22" s="485" t="s">
        <v>231</v>
      </c>
      <c r="B22" s="303" t="s">
        <v>226</v>
      </c>
      <c r="C22" s="460" t="s">
        <v>18</v>
      </c>
      <c r="D22" s="656">
        <v>35.299999833106995</v>
      </c>
      <c r="E22" s="304">
        <v>2</v>
      </c>
      <c r="F22" s="423"/>
      <c r="G22" s="305">
        <f t="shared" si="0"/>
        <v>0</v>
      </c>
    </row>
    <row r="23" spans="1:7">
      <c r="A23" s="485" t="s">
        <v>261</v>
      </c>
      <c r="B23" s="303" t="s">
        <v>226</v>
      </c>
      <c r="C23" s="460" t="s">
        <v>18</v>
      </c>
      <c r="D23" s="656">
        <v>67.950000762939453</v>
      </c>
      <c r="E23" s="304">
        <v>2</v>
      </c>
      <c r="F23" s="423"/>
      <c r="G23" s="305">
        <f t="shared" si="0"/>
        <v>0</v>
      </c>
    </row>
    <row r="24" spans="1:7">
      <c r="A24" s="485" t="s">
        <v>262</v>
      </c>
      <c r="B24" s="303" t="s">
        <v>226</v>
      </c>
      <c r="C24" s="460" t="s">
        <v>18</v>
      </c>
      <c r="D24" s="656">
        <v>53</v>
      </c>
      <c r="E24" s="304">
        <v>2</v>
      </c>
      <c r="F24" s="423"/>
      <c r="G24" s="305">
        <f t="shared" si="0"/>
        <v>0</v>
      </c>
    </row>
    <row r="25" spans="1:7">
      <c r="A25" s="485" t="s">
        <v>237</v>
      </c>
      <c r="B25" s="303" t="s">
        <v>226</v>
      </c>
      <c r="C25" s="460" t="s">
        <v>18</v>
      </c>
      <c r="D25" s="656">
        <v>38.480000000000004</v>
      </c>
      <c r="E25" s="304">
        <v>2</v>
      </c>
      <c r="F25" s="423"/>
      <c r="G25" s="305">
        <f t="shared" si="0"/>
        <v>0</v>
      </c>
    </row>
    <row r="26" spans="1:7">
      <c r="A26" s="485" t="s">
        <v>245</v>
      </c>
      <c r="B26" s="303" t="s">
        <v>226</v>
      </c>
      <c r="C26" s="460" t="s">
        <v>18</v>
      </c>
      <c r="D26" s="656">
        <v>56.6</v>
      </c>
      <c r="E26" s="304">
        <v>2</v>
      </c>
      <c r="F26" s="423"/>
      <c r="G26" s="305">
        <f t="shared" si="0"/>
        <v>0</v>
      </c>
    </row>
    <row r="27" spans="1:7">
      <c r="A27" s="485" t="s">
        <v>235</v>
      </c>
      <c r="B27" s="303" t="s">
        <v>226</v>
      </c>
      <c r="C27" s="460" t="s">
        <v>18</v>
      </c>
      <c r="D27" s="656">
        <v>39.84000027179718</v>
      </c>
      <c r="E27" s="304">
        <v>2</v>
      </c>
      <c r="F27" s="423"/>
      <c r="G27" s="305">
        <f t="shared" si="0"/>
        <v>0</v>
      </c>
    </row>
    <row r="28" spans="1:7">
      <c r="A28" s="485" t="s">
        <v>424</v>
      </c>
      <c r="B28" s="303" t="s">
        <v>226</v>
      </c>
      <c r="C28" s="460" t="s">
        <v>18</v>
      </c>
      <c r="D28" s="656">
        <v>16.679999589920044</v>
      </c>
      <c r="E28" s="304">
        <v>2</v>
      </c>
      <c r="F28" s="423"/>
      <c r="G28" s="305">
        <f t="shared" si="0"/>
        <v>0</v>
      </c>
    </row>
    <row r="29" spans="1:7">
      <c r="A29" s="485" t="s">
        <v>242</v>
      </c>
      <c r="B29" s="303" t="s">
        <v>226</v>
      </c>
      <c r="C29" s="460" t="s">
        <v>18</v>
      </c>
      <c r="D29" s="656">
        <v>35.199999809265137</v>
      </c>
      <c r="E29" s="304">
        <v>2</v>
      </c>
      <c r="F29" s="423"/>
      <c r="G29" s="305">
        <f t="shared" si="0"/>
        <v>0</v>
      </c>
    </row>
    <row r="30" spans="1:7">
      <c r="A30" s="485" t="s">
        <v>423</v>
      </c>
      <c r="B30" s="303" t="s">
        <v>226</v>
      </c>
      <c r="C30" s="460" t="s">
        <v>18</v>
      </c>
      <c r="D30" s="656">
        <f>30-20</f>
        <v>10</v>
      </c>
      <c r="E30" s="304">
        <v>2</v>
      </c>
      <c r="F30" s="423"/>
      <c r="G30" s="305">
        <f t="shared" si="0"/>
        <v>0</v>
      </c>
    </row>
    <row r="31" spans="1:7">
      <c r="A31" s="485" t="s">
        <v>240</v>
      </c>
      <c r="B31" s="303" t="s">
        <v>226</v>
      </c>
      <c r="C31" s="460" t="s">
        <v>18</v>
      </c>
      <c r="D31" s="656">
        <v>58.2</v>
      </c>
      <c r="E31" s="304">
        <v>2</v>
      </c>
      <c r="F31" s="423"/>
      <c r="G31" s="305">
        <f t="shared" si="0"/>
        <v>0</v>
      </c>
    </row>
    <row r="32" spans="1:7">
      <c r="A32" s="485" t="s">
        <v>263</v>
      </c>
      <c r="B32" s="303" t="s">
        <v>226</v>
      </c>
      <c r="C32" s="460" t="s">
        <v>18</v>
      </c>
      <c r="D32" s="656">
        <v>25.699999690055847</v>
      </c>
      <c r="E32" s="304">
        <v>2</v>
      </c>
      <c r="F32" s="423"/>
      <c r="G32" s="305">
        <f t="shared" si="0"/>
        <v>0</v>
      </c>
    </row>
    <row r="33" spans="1:7">
      <c r="A33" s="485" t="s">
        <v>264</v>
      </c>
      <c r="B33" s="303" t="s">
        <v>226</v>
      </c>
      <c r="C33" s="460" t="s">
        <v>18</v>
      </c>
      <c r="D33" s="656">
        <v>30</v>
      </c>
      <c r="E33" s="304">
        <v>2</v>
      </c>
      <c r="F33" s="423"/>
      <c r="G33" s="305">
        <f t="shared" si="0"/>
        <v>0</v>
      </c>
    </row>
    <row r="34" spans="1:7">
      <c r="A34" s="485" t="s">
        <v>566</v>
      </c>
      <c r="B34" s="303" t="s">
        <v>226</v>
      </c>
      <c r="C34" s="460" t="s">
        <v>18</v>
      </c>
      <c r="D34" s="656">
        <v>36.200000190734862</v>
      </c>
      <c r="E34" s="304">
        <v>2</v>
      </c>
      <c r="F34" s="423"/>
      <c r="G34" s="305">
        <f t="shared" si="0"/>
        <v>0</v>
      </c>
    </row>
    <row r="35" spans="1:7">
      <c r="A35" s="485" t="s">
        <v>1100</v>
      </c>
      <c r="B35" s="303" t="s">
        <v>226</v>
      </c>
      <c r="C35" s="460" t="s">
        <v>18</v>
      </c>
      <c r="D35" s="656">
        <v>19.399999999999999</v>
      </c>
      <c r="E35" s="304">
        <v>2</v>
      </c>
      <c r="F35" s="423"/>
      <c r="G35" s="305">
        <f t="shared" si="0"/>
        <v>0</v>
      </c>
    </row>
    <row r="36" spans="1:7">
      <c r="A36" s="485" t="s">
        <v>251</v>
      </c>
      <c r="B36" s="303" t="s">
        <v>226</v>
      </c>
      <c r="C36" s="460" t="s">
        <v>18</v>
      </c>
      <c r="D36" s="656">
        <v>39.300000667572021</v>
      </c>
      <c r="E36" s="304">
        <v>2</v>
      </c>
      <c r="F36" s="423"/>
      <c r="G36" s="305">
        <f t="shared" si="0"/>
        <v>0</v>
      </c>
    </row>
    <row r="37" spans="1:7">
      <c r="A37" s="485" t="s">
        <v>257</v>
      </c>
      <c r="B37" s="303" t="s">
        <v>226</v>
      </c>
      <c r="C37" s="460" t="s">
        <v>18</v>
      </c>
      <c r="D37" s="656">
        <v>54.199999999999996</v>
      </c>
      <c r="E37" s="304">
        <v>2</v>
      </c>
      <c r="F37" s="423"/>
      <c r="G37" s="305">
        <f t="shared" si="0"/>
        <v>0</v>
      </c>
    </row>
    <row r="38" spans="1:7">
      <c r="A38" s="485" t="s">
        <v>278</v>
      </c>
      <c r="B38" s="303" t="s">
        <v>226</v>
      </c>
      <c r="C38" s="460" t="s">
        <v>18</v>
      </c>
      <c r="D38" s="656">
        <v>20.9</v>
      </c>
      <c r="E38" s="304">
        <v>2</v>
      </c>
      <c r="F38" s="423"/>
      <c r="G38" s="305">
        <f t="shared" si="0"/>
        <v>0</v>
      </c>
    </row>
    <row r="39" spans="1:7">
      <c r="A39" s="485" t="s">
        <v>232</v>
      </c>
      <c r="B39" s="303" t="s">
        <v>226</v>
      </c>
      <c r="C39" s="460" t="s">
        <v>18</v>
      </c>
      <c r="D39" s="656">
        <v>44.300000000000004</v>
      </c>
      <c r="E39" s="304">
        <v>2</v>
      </c>
      <c r="F39" s="423"/>
      <c r="G39" s="305">
        <f t="shared" si="0"/>
        <v>0</v>
      </c>
    </row>
    <row r="40" spans="1:7">
      <c r="A40" s="485" t="s">
        <v>980</v>
      </c>
      <c r="B40" s="303" t="s">
        <v>226</v>
      </c>
      <c r="C40" s="460" t="s">
        <v>18</v>
      </c>
      <c r="D40" s="656">
        <v>34.96</v>
      </c>
      <c r="E40" s="304">
        <v>2</v>
      </c>
      <c r="F40" s="423"/>
      <c r="G40" s="305">
        <f t="shared" si="0"/>
        <v>0</v>
      </c>
    </row>
    <row r="41" spans="1:7">
      <c r="A41" s="485" t="s">
        <v>254</v>
      </c>
      <c r="B41" s="303" t="s">
        <v>226</v>
      </c>
      <c r="C41" s="460" t="s">
        <v>18</v>
      </c>
      <c r="D41" s="656">
        <v>52.199999999999996</v>
      </c>
      <c r="E41" s="304">
        <v>2</v>
      </c>
      <c r="F41" s="423"/>
      <c r="G41" s="305">
        <f t="shared" si="0"/>
        <v>0</v>
      </c>
    </row>
    <row r="42" spans="1:7">
      <c r="A42" s="485" t="s">
        <v>253</v>
      </c>
      <c r="B42" s="303" t="s">
        <v>226</v>
      </c>
      <c r="C42" s="460" t="s">
        <v>18</v>
      </c>
      <c r="D42" s="656">
        <v>65.900000000000006</v>
      </c>
      <c r="E42" s="304">
        <v>2</v>
      </c>
      <c r="F42" s="423"/>
      <c r="G42" s="305">
        <f t="shared" si="0"/>
        <v>0</v>
      </c>
    </row>
    <row r="43" spans="1:7">
      <c r="A43" s="485" t="s">
        <v>230</v>
      </c>
      <c r="B43" s="303" t="s">
        <v>226</v>
      </c>
      <c r="C43" s="460" t="s">
        <v>18</v>
      </c>
      <c r="D43" s="656">
        <v>31.37</v>
      </c>
      <c r="E43" s="304">
        <v>2</v>
      </c>
      <c r="F43" s="423"/>
      <c r="G43" s="305">
        <f t="shared" si="0"/>
        <v>0</v>
      </c>
    </row>
    <row r="44" spans="1:7">
      <c r="A44" s="485" t="s">
        <v>238</v>
      </c>
      <c r="B44" s="303" t="s">
        <v>226</v>
      </c>
      <c r="C44" s="460" t="s">
        <v>18</v>
      </c>
      <c r="D44" s="656">
        <v>73.900000000000006</v>
      </c>
      <c r="E44" s="304">
        <v>2</v>
      </c>
      <c r="F44" s="423"/>
      <c r="G44" s="305">
        <f t="shared" si="0"/>
        <v>0</v>
      </c>
    </row>
    <row r="45" spans="1:7">
      <c r="A45" s="485" t="s">
        <v>244</v>
      </c>
      <c r="B45" s="303" t="s">
        <v>226</v>
      </c>
      <c r="C45" s="460" t="s">
        <v>18</v>
      </c>
      <c r="D45" s="656">
        <v>54.44999990463257</v>
      </c>
      <c r="E45" s="304">
        <v>2</v>
      </c>
      <c r="F45" s="423"/>
      <c r="G45" s="305">
        <f t="shared" si="0"/>
        <v>0</v>
      </c>
    </row>
    <row r="46" spans="1:7">
      <c r="A46" s="485" t="s">
        <v>241</v>
      </c>
      <c r="B46" s="303" t="s">
        <v>226</v>
      </c>
      <c r="C46" s="460" t="s">
        <v>18</v>
      </c>
      <c r="D46" s="656">
        <v>52.300000190734863</v>
      </c>
      <c r="E46" s="304">
        <v>2</v>
      </c>
      <c r="F46" s="423"/>
      <c r="G46" s="305">
        <f t="shared" si="0"/>
        <v>0</v>
      </c>
    </row>
    <row r="47" spans="1:7">
      <c r="A47" s="485" t="s">
        <v>249</v>
      </c>
      <c r="B47" s="303" t="s">
        <v>226</v>
      </c>
      <c r="C47" s="460" t="s">
        <v>18</v>
      </c>
      <c r="D47" s="656">
        <v>35.200000047683716</v>
      </c>
      <c r="E47" s="304">
        <v>2</v>
      </c>
      <c r="F47" s="423"/>
      <c r="G47" s="305">
        <f t="shared" si="0"/>
        <v>0</v>
      </c>
    </row>
    <row r="48" spans="1:7">
      <c r="A48" s="485" t="s">
        <v>260</v>
      </c>
      <c r="B48" s="303" t="s">
        <v>226</v>
      </c>
      <c r="C48" s="460" t="s">
        <v>18</v>
      </c>
      <c r="D48" s="656">
        <v>27.520000000000003</v>
      </c>
      <c r="E48" s="304">
        <v>2</v>
      </c>
      <c r="F48" s="423"/>
      <c r="G48" s="305">
        <f t="shared" si="0"/>
        <v>0</v>
      </c>
    </row>
    <row r="49" spans="1:7">
      <c r="A49" s="485" t="s">
        <v>259</v>
      </c>
      <c r="B49" s="303" t="s">
        <v>226</v>
      </c>
      <c r="C49" s="460" t="s">
        <v>18</v>
      </c>
      <c r="D49" s="656">
        <v>23.599999666213989</v>
      </c>
      <c r="E49" s="304">
        <v>2</v>
      </c>
      <c r="F49" s="423"/>
      <c r="G49" s="305">
        <f t="shared" si="0"/>
        <v>0</v>
      </c>
    </row>
    <row r="50" spans="1:7">
      <c r="A50" s="485" t="s">
        <v>252</v>
      </c>
      <c r="B50" s="303" t="s">
        <v>226</v>
      </c>
      <c r="C50" s="460" t="s">
        <v>18</v>
      </c>
      <c r="D50" s="656">
        <v>51.099999999999994</v>
      </c>
      <c r="E50" s="304">
        <v>2</v>
      </c>
      <c r="F50" s="423"/>
      <c r="G50" s="305">
        <f t="shared" si="0"/>
        <v>0</v>
      </c>
    </row>
    <row r="51" spans="1:7">
      <c r="A51" s="485" t="s">
        <v>258</v>
      </c>
      <c r="B51" s="303" t="s">
        <v>226</v>
      </c>
      <c r="C51" s="460" t="s">
        <v>18</v>
      </c>
      <c r="D51" s="656">
        <v>66.549999952316284</v>
      </c>
      <c r="E51" s="304">
        <v>2</v>
      </c>
      <c r="F51" s="423"/>
      <c r="G51" s="305">
        <f t="shared" si="0"/>
        <v>0</v>
      </c>
    </row>
    <row r="52" spans="1:7">
      <c r="A52" s="485" t="s">
        <v>229</v>
      </c>
      <c r="B52" s="303" t="s">
        <v>226</v>
      </c>
      <c r="C52" s="460" t="s">
        <v>18</v>
      </c>
      <c r="D52" s="656">
        <v>41</v>
      </c>
      <c r="E52" s="304">
        <v>2</v>
      </c>
      <c r="F52" s="423"/>
      <c r="G52" s="305">
        <f t="shared" si="0"/>
        <v>0</v>
      </c>
    </row>
    <row r="53" spans="1:7">
      <c r="A53" s="485" t="s">
        <v>227</v>
      </c>
      <c r="B53" s="303" t="s">
        <v>226</v>
      </c>
      <c r="C53" s="460" t="s">
        <v>18</v>
      </c>
      <c r="D53" s="656">
        <v>32.700000524520874</v>
      </c>
      <c r="E53" s="304">
        <v>2</v>
      </c>
      <c r="F53" s="423"/>
      <c r="G53" s="305">
        <f t="shared" si="0"/>
        <v>0</v>
      </c>
    </row>
    <row r="54" spans="1:7">
      <c r="A54" s="485" t="s">
        <v>250</v>
      </c>
      <c r="B54" s="303" t="s">
        <v>226</v>
      </c>
      <c r="C54" s="460" t="s">
        <v>18</v>
      </c>
      <c r="D54" s="656">
        <v>28.799999952316284</v>
      </c>
      <c r="E54" s="304">
        <v>2</v>
      </c>
      <c r="F54" s="423"/>
      <c r="G54" s="305">
        <f t="shared" si="0"/>
        <v>0</v>
      </c>
    </row>
    <row r="55" spans="1:7">
      <c r="A55" s="485" t="s">
        <v>248</v>
      </c>
      <c r="B55" s="303" t="s">
        <v>226</v>
      </c>
      <c r="C55" s="460" t="s">
        <v>18</v>
      </c>
      <c r="D55" s="656">
        <v>28.950000286102295</v>
      </c>
      <c r="E55" s="304">
        <v>2</v>
      </c>
      <c r="F55" s="423"/>
      <c r="G55" s="305">
        <f t="shared" si="0"/>
        <v>0</v>
      </c>
    </row>
    <row r="56" spans="1:7">
      <c r="D56" s="727"/>
    </row>
    <row r="57" spans="1:7" s="148" customFormat="1" ht="12.6">
      <c r="A57" s="306" t="s">
        <v>9</v>
      </c>
      <c r="B57" s="307"/>
      <c r="C57" s="307"/>
      <c r="D57" s="784">
        <f>SUM(D11:D55)</f>
        <v>1839.5880019121171</v>
      </c>
      <c r="E57" s="307"/>
      <c r="F57" s="307"/>
      <c r="G57" s="275">
        <f>SUM(G11:G55)</f>
        <v>0</v>
      </c>
    </row>
  </sheetData>
  <pageMargins left="0.59375" right="0.7" top="0.75" bottom="0.75" header="0.3" footer="0.3"/>
  <pageSetup paperSize="9" scale="77" fitToHeight="0" orientation="landscape" r:id="rId1"/>
  <headerFooter>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14</vt:i4>
      </vt:variant>
      <vt:variant>
        <vt:lpstr>Benoemde bereiken</vt:lpstr>
      </vt:variant>
      <vt:variant>
        <vt:i4>15</vt:i4>
      </vt:variant>
    </vt:vector>
  </HeadingPairs>
  <TitlesOfParts>
    <vt:vector size="29"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8-Additionele werkzaamheden</vt:lpstr>
      <vt:lpstr>9b-Vloeronderhoud</vt:lpstr>
      <vt:lpstr>9a-Typen vloeren</vt:lpstr>
      <vt:lpstr>9-Afroepprijs</vt:lpstr>
      <vt:lpstr>10-Glasbewassing</vt:lpstr>
      <vt:lpstr>11-Sanitaire voorzieningen</vt:lpstr>
      <vt:lpstr>'11-Sanitaire voorzieningen'!Afdrukbereik</vt:lpstr>
      <vt:lpstr>'1-Contractblad totaal'!Afdrukbereik</vt:lpstr>
      <vt:lpstr>'2-Kosten per locatie'!Afdrukbereik</vt:lpstr>
      <vt:lpstr>'4-Basis ruimtestaat'!Afdrukbereik</vt:lpstr>
      <vt:lpstr>'5-Premies en opslagen'!Afdrukbereik</vt:lpstr>
      <vt:lpstr>'6-Opbouw uurtarief productie'!Afdrukbereik</vt:lpstr>
      <vt:lpstr>'9-Afroepprijs'!Afdrukbereik</vt:lpstr>
      <vt:lpstr>'Info blad'!Afdrukbereik</vt:lpstr>
      <vt:lpstr>'10-Glasbewassing'!Afdruktitels</vt:lpstr>
      <vt:lpstr>'4-Basis ruimtestaat'!Afdruktitels</vt:lpstr>
      <vt:lpstr>'6-Opbouw uurtarief productie'!Afdruktitels</vt:lpstr>
      <vt:lpstr>'9-Afroepprijs'!Afdruktitels</vt:lpstr>
      <vt:lpstr>'2-Kosten per locatie'!gebouw</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Rob Toorenburgh</cp:lastModifiedBy>
  <cp:lastPrinted>2021-08-10T10:52:39Z</cp:lastPrinted>
  <dcterms:created xsi:type="dcterms:W3CDTF">1999-10-05T12:28:40Z</dcterms:created>
  <dcterms:modified xsi:type="dcterms:W3CDTF">2022-02-25T14:48:28Z</dcterms:modified>
</cp:coreProperties>
</file>