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oma College\Aanbesteding 2021\Uitlever\"/>
    </mc:Choice>
  </mc:AlternateContent>
  <xr:revisionPtr revIDLastSave="0" documentId="13_ncr:1_{C72C5724-1390-47EB-AC0B-373DE7B3C97F}" xr6:coauthVersionLast="45" xr6:coauthVersionMax="45" xr10:uidLastSave="{00000000-0000-0000-0000-000000000000}"/>
  <bookViews>
    <workbookView xWindow="-120" yWindow="-120" windowWidth="30960" windowHeight="16920" activeTab="1" xr2:uid="{5AEDD5FE-14A7-466E-8582-8B08164574CC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 incidenteel" sheetId="8" r:id="rId8"/>
    <sheet name="Regiewerk" sheetId="9" r:id="rId9"/>
    <sheet name="Glas" sheetId="10" r:id="rId10"/>
    <sheet name="Glas per locatie" sheetId="11" r:id="rId11"/>
    <sheet name="Totaal" sheetId="12" r:id="rId12"/>
  </sheets>
  <definedNames>
    <definedName name="_xlnm.Print_Titles" localSheetId="7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10">'Glas per locatie'!$1:$3</definedName>
    <definedName name="_xlnm.Print_Titles" localSheetId="5">'Niet-meewerkende objectleiding'!$1:$3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8">Regiewerk!$1:$3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BHB_1">Categorienormen!$F$6</definedName>
    <definedName name="catdw_1_BHV_47">Categorienormen!$F$7</definedName>
    <definedName name="catdw_1_BHV_51">Categorienormen!$F$8</definedName>
    <definedName name="catdw_1_DHB_1">Categorienormen!$F$15</definedName>
    <definedName name="catdw_1_DHV_47">Categorienormen!$F$17</definedName>
    <definedName name="catdw_1_EHB_1">Categorienormen!$F$19</definedName>
    <definedName name="catdw_1_EHV_47">Categorienormen!$F$27</definedName>
    <definedName name="catdw_1_GHB_1">Categorienormen!$F$20</definedName>
    <definedName name="catdw_1_GHV_47">Categorienormen!$F$28</definedName>
    <definedName name="catdw_1_IHB_1">Categorienormen!$F$21</definedName>
    <definedName name="catdw_1_IHV_51">Categorienormen!$F$29</definedName>
    <definedName name="catdw_1_KHB_1">Categorienormen!$F$16</definedName>
    <definedName name="catdw_1_KHV_47">Categorienormen!$F$18</definedName>
    <definedName name="catdw_1_LHB_1">Categorienormen!$F$9</definedName>
    <definedName name="catdw_1_LHV_47">Categorienormen!$F$10</definedName>
    <definedName name="catdw_1_LZV_1">Categorienormen!$F$13</definedName>
    <definedName name="catdw_1_LZV_51">Categorienormen!$F$14</definedName>
    <definedName name="catdw_1_PHB_1">Categorienormen!$F$22</definedName>
    <definedName name="catdw_1_PHV_47">Categorienormen!$F$30</definedName>
    <definedName name="catdw_1_PHV_51">Categorienormen!$F$31</definedName>
    <definedName name="catdw_1_PUHB_1">Categorienormen!$F$11</definedName>
    <definedName name="catdw_1_PUHV_47">Categorienormen!$F$12</definedName>
    <definedName name="catdw_1_RHB_1">Categorienormen!$F$23</definedName>
    <definedName name="catdw_1_RHV_47">Categorienormen!$F$33</definedName>
    <definedName name="catdw_1_RHV_6">Categorienormen!$F$32</definedName>
    <definedName name="catdw_1_SHB_1">Categorienormen!$F$24</definedName>
    <definedName name="catdw_1_SHV_47">Categorienormen!$F$34</definedName>
    <definedName name="catdw_1_SHV_51">Categorienormen!$F$35</definedName>
    <definedName name="catdw_1_THB_1">Categorienormen!$F$25</definedName>
    <definedName name="catdw_1_THV_47">Categorienormen!$F$37</definedName>
    <definedName name="catdw_1_THV_51">Categorienormen!$F$36</definedName>
    <definedName name="catdw_1_VHB_1">Categorienormen!$F$26</definedName>
    <definedName name="catdw_1_VHV_47">Categorienormen!$F$38</definedName>
    <definedName name="catdw_1_VHV_51">Categorienormen!$F$39</definedName>
    <definedName name="catdw_1_VZB_1">Categorienormen!$F$40</definedName>
    <definedName name="catdw_1_VZV_47">Categorienormen!$F$41</definedName>
    <definedName name="catdw_1_XBV_1">Categorienormen!$F$42</definedName>
    <definedName name="catfd_1_BHB_1">Categorienormen!$C$6</definedName>
    <definedName name="catfd_1_BHV_47">Categorienormen!$C$7</definedName>
    <definedName name="catfd_1_BHV_51">Categorienormen!$C$8</definedName>
    <definedName name="catfd_1_DHB_1">Categorienormen!$C$15</definedName>
    <definedName name="catfd_1_DHV_47">Categorienormen!$C$17</definedName>
    <definedName name="catfd_1_EHB_1">Categorienormen!$C$19</definedName>
    <definedName name="catfd_1_EHV_47">Categorienormen!$C$27</definedName>
    <definedName name="catfd_1_GHB_1">Categorienormen!$C$20</definedName>
    <definedName name="catfd_1_GHV_47">Categorienormen!$C$28</definedName>
    <definedName name="catfd_1_IHB_1">Categorienormen!$C$21</definedName>
    <definedName name="catfd_1_IHV_51">Categorienormen!$C$29</definedName>
    <definedName name="catfd_1_KHB_1">Categorienormen!$C$16</definedName>
    <definedName name="catfd_1_KHV_47">Categorienormen!$C$18</definedName>
    <definedName name="catfd_1_LHB_1">Categorienormen!$C$9</definedName>
    <definedName name="catfd_1_LHV_47">Categorienormen!$C$10</definedName>
    <definedName name="catfd_1_LZV_1">Categorienormen!$C$13</definedName>
    <definedName name="catfd_1_LZV_51">Categorienormen!$C$14</definedName>
    <definedName name="catfd_1_PHB_1">Categorienormen!$C$22</definedName>
    <definedName name="catfd_1_PHV_47">Categorienormen!$C$30</definedName>
    <definedName name="catfd_1_PHV_51">Categorienormen!$C$31</definedName>
    <definedName name="catfd_1_PUHB_1">Categorienormen!$C$11</definedName>
    <definedName name="catfd_1_PUHV_47">Categorienormen!$C$12</definedName>
    <definedName name="catfd_1_RHB_1">Categorienormen!$C$23</definedName>
    <definedName name="catfd_1_RHV_47">Categorienormen!$C$33</definedName>
    <definedName name="catfd_1_RHV_6">Categorienormen!$C$32</definedName>
    <definedName name="catfd_1_SHB_1">Categorienormen!$C$24</definedName>
    <definedName name="catfd_1_SHV_47">Categorienormen!$C$34</definedName>
    <definedName name="catfd_1_SHV_51">Categorienormen!$C$35</definedName>
    <definedName name="catfd_1_THB_1">Categorienormen!$C$25</definedName>
    <definedName name="catfd_1_THV_47">Categorienormen!$C$37</definedName>
    <definedName name="catfd_1_THV_51">Categorienormen!$C$36</definedName>
    <definedName name="catfd_1_VHB_1">Categorienormen!$C$26</definedName>
    <definedName name="catfd_1_VHV_47">Categorienormen!$C$38</definedName>
    <definedName name="catfd_1_VHV_51">Categorienormen!$C$39</definedName>
    <definedName name="catfd_1_VZB_1">Categorienormen!$C$40</definedName>
    <definedName name="catfd_1_VZV_47">Categorienormen!$C$41</definedName>
    <definedName name="catfd_1_XBV_1">Categorienormen!$C$42</definedName>
    <definedName name="catpn_1_BHB_1">Categorienormen!$E$6</definedName>
    <definedName name="catpn_1_BHV_47">Categorienormen!$E$7</definedName>
    <definedName name="catpn_1_BHV_51">Categorienormen!$E$8</definedName>
    <definedName name="catpn_1_DHB_1">Categorienormen!$E$15</definedName>
    <definedName name="catpn_1_DHV_47">Categorienormen!$E$17</definedName>
    <definedName name="catpn_1_EHB_1">Categorienormen!$E$19</definedName>
    <definedName name="catpn_1_EHV_47">Categorienormen!$E$27</definedName>
    <definedName name="catpn_1_GHB_1">Categorienormen!$E$20</definedName>
    <definedName name="catpn_1_GHV_47">Categorienormen!$E$28</definedName>
    <definedName name="catpn_1_IHB_1">Categorienormen!$E$21</definedName>
    <definedName name="catpn_1_IHV_51">Categorienormen!$E$29</definedName>
    <definedName name="catpn_1_KHB_1">Categorienormen!$E$16</definedName>
    <definedName name="catpn_1_KHV_47">Categorienormen!$E$18</definedName>
    <definedName name="catpn_1_LHB_1">Categorienormen!$E$9</definedName>
    <definedName name="catpn_1_LHV_47">Categorienormen!$E$10</definedName>
    <definedName name="catpn_1_LZV_1">Categorienormen!$E$13</definedName>
    <definedName name="catpn_1_LZV_51">Categorienormen!$E$14</definedName>
    <definedName name="catpn_1_PHB_1">Categorienormen!$E$22</definedName>
    <definedName name="catpn_1_PHV_47">Categorienormen!$E$30</definedName>
    <definedName name="catpn_1_PHV_51">Categorienormen!$E$31</definedName>
    <definedName name="catpn_1_PUHB_1">Categorienormen!$E$11</definedName>
    <definedName name="catpn_1_PUHV_47">Categorienormen!$E$12</definedName>
    <definedName name="catpn_1_RHB_1">Categorienormen!$E$23</definedName>
    <definedName name="catpn_1_RHV_47">Categorienormen!$E$33</definedName>
    <definedName name="catpn_1_RHV_6">Categorienormen!$E$32</definedName>
    <definedName name="catpn_1_SHB_1">Categorienormen!$E$24</definedName>
    <definedName name="catpn_1_SHV_47">Categorienormen!$E$34</definedName>
    <definedName name="catpn_1_SHV_51">Categorienormen!$E$35</definedName>
    <definedName name="catpn_1_THB_1">Categorienormen!$E$25</definedName>
    <definedName name="catpn_1_THV_47">Categorienormen!$E$37</definedName>
    <definedName name="catpn_1_THV_51">Categorienormen!$E$36</definedName>
    <definedName name="catpn_1_VHB_1">Categorienormen!$E$26</definedName>
    <definedName name="catpn_1_VHV_47">Categorienormen!$E$38</definedName>
    <definedName name="catpn_1_VHV_51">Categorienormen!$E$39</definedName>
    <definedName name="catpn_1_VZB_1">Categorienormen!$E$40</definedName>
    <definedName name="catpn_1_VZV_47">Categorienormen!$E$41</definedName>
    <definedName name="catpn_1_XBV_1">Categorienormen!$E$42</definedName>
    <definedName name="cattf_1_BHB_1">Categorienormen!$H$6</definedName>
    <definedName name="cattf_1_BHV_47">Categorienormen!$H$7</definedName>
    <definedName name="cattf_1_BHV_51">Categorienormen!$H$8</definedName>
    <definedName name="cattf_1_DHB_1">Categorienormen!$H$15</definedName>
    <definedName name="cattf_1_DHV_47">Categorienormen!$H$17</definedName>
    <definedName name="cattf_1_EHB_1">Categorienormen!$H$19</definedName>
    <definedName name="cattf_1_EHV_47">Categorienormen!$H$27</definedName>
    <definedName name="cattf_1_GHB_1">Categorienormen!$H$20</definedName>
    <definedName name="cattf_1_GHV_47">Categorienormen!$H$28</definedName>
    <definedName name="cattf_1_IHB_1">Categorienormen!$H$21</definedName>
    <definedName name="cattf_1_IHV_51">Categorienormen!$H$29</definedName>
    <definedName name="cattf_1_KHB_1">Categorienormen!$H$16</definedName>
    <definedName name="cattf_1_KHV_47">Categorienormen!$H$18</definedName>
    <definedName name="cattf_1_LHB_1">Categorienormen!$H$9</definedName>
    <definedName name="cattf_1_LHV_47">Categorienormen!$H$10</definedName>
    <definedName name="cattf_1_LZV_1">Categorienormen!$H$13</definedName>
    <definedName name="cattf_1_LZV_51">Categorienormen!$H$14</definedName>
    <definedName name="cattf_1_PHB_1">Categorienormen!$H$22</definedName>
    <definedName name="cattf_1_PHV_47">Categorienormen!$H$30</definedName>
    <definedName name="cattf_1_PHV_51">Categorienormen!$H$31</definedName>
    <definedName name="cattf_1_PUHB_1">Categorienormen!$H$11</definedName>
    <definedName name="cattf_1_PUHV_47">Categorienormen!$H$12</definedName>
    <definedName name="cattf_1_RHB_1">Categorienormen!$H$23</definedName>
    <definedName name="cattf_1_RHV_47">Categorienormen!$H$33</definedName>
    <definedName name="cattf_1_RHV_6">Categorienormen!$H$32</definedName>
    <definedName name="cattf_1_SHB_1">Categorienormen!$H$24</definedName>
    <definedName name="cattf_1_SHV_47">Categorienormen!$H$34</definedName>
    <definedName name="cattf_1_SHV_51">Categorienormen!$H$35</definedName>
    <definedName name="cattf_1_THB_1">Categorienormen!$H$25</definedName>
    <definedName name="cattf_1_THV_47">Categorienormen!$H$37</definedName>
    <definedName name="cattf_1_THV_51">Categorienormen!$H$36</definedName>
    <definedName name="cattf_1_VHB_1">Categorienormen!$H$26</definedName>
    <definedName name="cattf_1_VHV_47">Categorienormen!$H$38</definedName>
    <definedName name="cattf_1_VHV_51">Categorienormen!$H$39</definedName>
    <definedName name="cattf_1_VZB_1">Categorienormen!$H$40</definedName>
    <definedName name="cattf_1_VZV_47">Categorienormen!$H$41</definedName>
    <definedName name="cattf_1_XBV_1">Categorienormen!$H$42</definedName>
    <definedName name="dagenperjaar1">Omreken!$B$9</definedName>
    <definedName name="dagenperweek1">Omreken!$B$10</definedName>
    <definedName name="dagsoorttabel1">Omreken!$A$13:$B$32</definedName>
    <definedName name="gemuurtarief1">'Regulier werk'!$I$38</definedName>
    <definedName name="kengetaltabel1">Objectinformatie!$G$5:$G$34</definedName>
    <definedName name="object1_opptabel1">Objectinformatie!$I$5:$I$34</definedName>
    <definedName name="object2_opptabel1">Objectinformatie!$J$5:$J$34</definedName>
    <definedName name="object3_opptabel1">Objectinformatie!$K$5:$K$34</definedName>
    <definedName name="object4_opptabel1">Objectinformatie!$L$5:$L$34</definedName>
    <definedName name="object5_opptabel1">Objectinformatie!$M$5:$M$34</definedName>
    <definedName name="object6_opptabel1">Objectinformatie!$N$5:$N$34</definedName>
    <definedName name="object7_opptabel1">Objectinformatie!$O$5:$O$34</definedName>
    <definedName name="object8_opptabel1">Objectinformatie!$P$5:$P$34</definedName>
    <definedName name="objectprijs1_1">Objecten!$N$6</definedName>
    <definedName name="objectprijs2_1">Objecten!$N$7</definedName>
    <definedName name="objectprijs3_1">Objecten!$N$8</definedName>
    <definedName name="objectprijs4_1">Objecten!$N$9</definedName>
    <definedName name="objectprijs5_1">Objecten!$N$10</definedName>
    <definedName name="objectprijs6_1">Objecten!$N$11</definedName>
    <definedName name="objectprijs7_1">Objecten!$N$12</definedName>
    <definedName name="objectprijs8_1">Objecten!$N$13</definedName>
    <definedName name="objecturen1_1">Objecten!$M$6</definedName>
    <definedName name="objecturen2_1">Objecten!$M$7</definedName>
    <definedName name="objecturen3_1">Objecten!$M$8</definedName>
    <definedName name="objecturen4_1">Objecten!$M$9</definedName>
    <definedName name="objecturen5_1">Objecten!$M$10</definedName>
    <definedName name="objecturen6_1">Objecten!$M$11</definedName>
    <definedName name="objecturen7_1">Objecten!$M$12</definedName>
    <definedName name="objecturen8_1">Objecten!$M$13</definedName>
    <definedName name="prijsdag1">'Regulier werk'!$K$36</definedName>
    <definedName name="prijsjaar">'Regulier werk'!$M$41</definedName>
    <definedName name="prijsjaar1">'Regulier werk'!$M$36</definedName>
    <definedName name="prijsjaarglas">Glas!$K$16</definedName>
    <definedName name="prijsjaarglas1">Glas!$K$14</definedName>
    <definedName name="prijsjaarnietmeewerkend">'Niet-meewerkende objectleiding'!$J$81</definedName>
    <definedName name="prijsjaarregie">Regiewerk!$K$13</definedName>
    <definedName name="prijsjaarregie1">Regiewerk!$K$11</definedName>
    <definedName name="prijsjaartotaal">Objecten!$N$17</definedName>
    <definedName name="prijsjaartotaal1">Objecten!$N$14</definedName>
    <definedName name="prijsjaartotaaloverzicht">'Totaalblad Objecten'!$G$13</definedName>
    <definedName name="prijsmaandtotaal1">Objecten!$O$14</definedName>
    <definedName name="prodnorm14">'Regulier werk'!$G$30</definedName>
    <definedName name="prodnorm15">'Regulier werk'!$G$31</definedName>
    <definedName name="prodnorm16">'Regulier werk'!$G$32</definedName>
    <definedName name="prodnorm17">'Regulier werk'!$G$33</definedName>
    <definedName name="prodnorm18">'Regulier werk'!$G$34</definedName>
    <definedName name="prodnorm19">'Regulier werk'!$G$35</definedName>
    <definedName name="prodnorm21">'Regulier werk'!$G$6</definedName>
    <definedName name="prodnorm22">'Regulier werk'!$G$7</definedName>
    <definedName name="prodnorm23">'Regulier werk'!$G$8</definedName>
    <definedName name="prodnorm24">'Regulier werk'!$G$9</definedName>
    <definedName name="prodnorm25">'Regulier werk'!$G$10</definedName>
    <definedName name="prodnorm26">'Regulier werk'!$G$11</definedName>
    <definedName name="prodnorm27">'Regulier werk'!$G$12</definedName>
    <definedName name="prodnorm28">'Regulier werk'!$G$13</definedName>
    <definedName name="prodnorm29">'Regulier werk'!$G$14</definedName>
    <definedName name="prodnorm30">'Regulier werk'!$G$15</definedName>
    <definedName name="prodnorm31">'Regulier werk'!$G$16</definedName>
    <definedName name="prodnorm33">'Regulier werk'!$G$17</definedName>
    <definedName name="prodnorm34">'Regulier werk'!$G$18</definedName>
    <definedName name="prodnorm35">'Regulier werk'!$G$19</definedName>
    <definedName name="prodnorm36">'Regulier werk'!$G$20</definedName>
    <definedName name="prodnorm37">'Regulier werk'!$G$21</definedName>
    <definedName name="prodnorm38">'Regulier werk'!$G$22</definedName>
    <definedName name="prodnorm39">'Regulier werk'!$G$23</definedName>
    <definedName name="prodnorm40">'Regulier werk'!$G$24</definedName>
    <definedName name="prodnorm41">'Regulier werk'!$G$25</definedName>
    <definedName name="prodnorm42">'Regulier werk'!$G$26</definedName>
    <definedName name="prodnorm43">'Regulier werk'!$G$27</definedName>
    <definedName name="prodnorm44">'Regulier werk'!$G$28</definedName>
    <definedName name="prodnorm45">'Regulier werk'!$G$29</definedName>
    <definedName name="taakfreqtabel1">Objectinformatie!$E$5:$E$34</definedName>
    <definedName name="tabeltype">Omreken!$B$5:$B$5</definedName>
    <definedName name="tarieftabel1">Objectinformatie!$H$5:$H$34</definedName>
    <definedName name="tzpjt1">'Niet-meewerkende objectleiding'!$J$78</definedName>
    <definedName name="tzpjt1_1">'Niet-meewerkende objectleiding'!$J$13</definedName>
    <definedName name="tzpjt2_1">'Niet-meewerkende objectleiding'!$J$22</definedName>
    <definedName name="tzpjt3_1">'Niet-meewerkende objectleiding'!$J$31</definedName>
    <definedName name="tzpjt4_1">'Niet-meewerkende objectleiding'!$J$40</definedName>
    <definedName name="tzpjt5_1">'Niet-meewerkende objectleiding'!$J$49</definedName>
    <definedName name="tzpjt6_1">'Niet-meewerkende objectleiding'!$J$58</definedName>
    <definedName name="tzpjt7_1">'Niet-meewerkende objectleiding'!$J$67</definedName>
    <definedName name="tzpjt8_1">'Niet-meewerkende objectleiding'!$J$76</definedName>
    <definedName name="tzpmt1">'Niet-meewerkende objectleiding'!$K$78</definedName>
    <definedName name="tzpmt1_1">'Niet-meewerkende objectleiding'!$K$13</definedName>
    <definedName name="tzpmt2_1">'Niet-meewerkende objectleiding'!$K$22</definedName>
    <definedName name="tzpmt3_1">'Niet-meewerkende objectleiding'!$K$31</definedName>
    <definedName name="tzpmt4_1">'Niet-meewerkende objectleiding'!$K$40</definedName>
    <definedName name="tzpmt5_1">'Niet-meewerkende objectleiding'!$K$49</definedName>
    <definedName name="tzpmt6_1">'Niet-meewerkende objectleiding'!$K$58</definedName>
    <definedName name="tzpmt7_1">'Niet-meewerkende objectleiding'!$K$67</definedName>
    <definedName name="tzpmt8_1">'Niet-meewerkende objectleiding'!$K$76</definedName>
    <definedName name="tzujt1">'Niet-meewerkende objectleiding'!$H$78</definedName>
    <definedName name="tzujt1_1">'Niet-meewerkende objectleiding'!$H$13</definedName>
    <definedName name="tzujt2_1">'Niet-meewerkende objectleiding'!$H$22</definedName>
    <definedName name="tzujt3_1">'Niet-meewerkende objectleiding'!$H$31</definedName>
    <definedName name="tzujt4_1">'Niet-meewerkende objectleiding'!$H$40</definedName>
    <definedName name="tzujt5_1">'Niet-meewerkende objectleiding'!$H$49</definedName>
    <definedName name="tzujt6_1">'Niet-meewerkende objectleiding'!$H$58</definedName>
    <definedName name="tzujt7_1">'Niet-meewerkende objectleiding'!$H$67</definedName>
    <definedName name="tzujt8_1">'Niet-meewerkende objectleiding'!$H$76</definedName>
    <definedName name="urendag1">'Regulier werk'!$J$36</definedName>
    <definedName name="urenjaar">'Regulier werk'!$L$41</definedName>
    <definedName name="urenjaar1">'Regulier werk'!$L$36</definedName>
    <definedName name="urenjaarnietmeewerkend">'Niet-meewerkende objectleiding'!$H$81</definedName>
    <definedName name="urenjaartotaal">Objecten!$M$17</definedName>
    <definedName name="urenjaartotaal1">Objecten!$M$14</definedName>
    <definedName name="urenjaartotaaloverzicht">'Totaalblad Objecten'!$F$13</definedName>
    <definedName name="uurfactortabel1">Objectinformatie!$F$5:$F$34</definedName>
    <definedName name="uurtarief14">'Regulier werk'!$I$30</definedName>
    <definedName name="uurtarief15">'Regulier werk'!$I$31</definedName>
    <definedName name="uurtarief16">'Regulier werk'!$I$32</definedName>
    <definedName name="uurtarief17">'Regulier werk'!$I$33</definedName>
    <definedName name="uurtarief18">'Regulier werk'!$I$34</definedName>
    <definedName name="uurtarief19">'Regulier werk'!$I$35</definedName>
    <definedName name="uurtarief21">'Regulier werk'!$I$6</definedName>
    <definedName name="uurtarief22">'Regulier werk'!$I$7</definedName>
    <definedName name="uurtarief23">'Regulier werk'!$I$8</definedName>
    <definedName name="uurtarief24">'Regulier werk'!$I$9</definedName>
    <definedName name="uurtarief25">'Regulier werk'!$I$10</definedName>
    <definedName name="uurtarief26">'Regulier werk'!$I$11</definedName>
    <definedName name="uurtarief27">'Regulier werk'!$I$12</definedName>
    <definedName name="uurtarief28">'Regulier werk'!$I$13</definedName>
    <definedName name="uurtarief29">'Regulier werk'!$I$14</definedName>
    <definedName name="uurtarief30">'Regulier werk'!$I$15</definedName>
    <definedName name="uurtarief31">'Regulier werk'!$I$16</definedName>
    <definedName name="uurtarief33">'Regulier werk'!$I$17</definedName>
    <definedName name="uurtarief34">'Regulier werk'!$I$18</definedName>
    <definedName name="uurtarief35">'Regulier werk'!$I$19</definedName>
    <definedName name="uurtarief36">'Regulier werk'!$I$20</definedName>
    <definedName name="uurtarief37">'Regulier werk'!$I$21</definedName>
    <definedName name="uurtarief38">'Regulier werk'!$I$22</definedName>
    <definedName name="uurtarief39">'Regulier werk'!$I$23</definedName>
    <definedName name="uurtarief40">'Regulier werk'!$I$24</definedName>
    <definedName name="uurtarief41">'Regulier werk'!$I$25</definedName>
    <definedName name="uurtarief42">'Regulier werk'!$I$26</definedName>
    <definedName name="uurtarief43">'Regulier werk'!$I$27</definedName>
    <definedName name="uurtarief44">'Regulier werk'!$I$28</definedName>
    <definedName name="uurtarief45">'Regulier werk'!$I$29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2" l="1"/>
  <c r="J50" i="11"/>
  <c r="K50" i="11" s="1"/>
  <c r="H50" i="11"/>
  <c r="J49" i="11"/>
  <c r="K49" i="11" s="1"/>
  <c r="H49" i="11"/>
  <c r="C49" i="11"/>
  <c r="J48" i="11"/>
  <c r="K48" i="11" s="1"/>
  <c r="H48" i="11"/>
  <c r="J47" i="11"/>
  <c r="K47" i="11" s="1"/>
  <c r="H47" i="11"/>
  <c r="C47" i="11"/>
  <c r="J43" i="11"/>
  <c r="K43" i="11" s="1"/>
  <c r="H43" i="11"/>
  <c r="J42" i="11"/>
  <c r="K42" i="11" s="1"/>
  <c r="H42" i="11"/>
  <c r="C42" i="11"/>
  <c r="J41" i="11"/>
  <c r="K41" i="11" s="1"/>
  <c r="H41" i="11"/>
  <c r="C41" i="11"/>
  <c r="J40" i="11"/>
  <c r="K40" i="11" s="1"/>
  <c r="H40" i="11"/>
  <c r="J39" i="11"/>
  <c r="K39" i="11" s="1"/>
  <c r="H39" i="11"/>
  <c r="J35" i="11"/>
  <c r="K35" i="11" s="1"/>
  <c r="H35" i="11"/>
  <c r="J34" i="11"/>
  <c r="K34" i="11" s="1"/>
  <c r="H34" i="11"/>
  <c r="J33" i="11"/>
  <c r="K33" i="11" s="1"/>
  <c r="H33" i="11"/>
  <c r="J32" i="11"/>
  <c r="K32" i="11" s="1"/>
  <c r="H32" i="11"/>
  <c r="J28" i="11"/>
  <c r="K28" i="11" s="1"/>
  <c r="H28" i="11"/>
  <c r="J27" i="11"/>
  <c r="K27" i="11" s="1"/>
  <c r="H27" i="11"/>
  <c r="J26" i="11"/>
  <c r="K26" i="11" s="1"/>
  <c r="H26" i="11"/>
  <c r="C26" i="11"/>
  <c r="J22" i="11"/>
  <c r="K22" i="11" s="1"/>
  <c r="H22" i="11"/>
  <c r="C22" i="11"/>
  <c r="L22" i="11" s="1"/>
  <c r="M22" i="11" s="1"/>
  <c r="J21" i="11"/>
  <c r="K21" i="11" s="1"/>
  <c r="H21" i="11"/>
  <c r="J20" i="11"/>
  <c r="K20" i="11" s="1"/>
  <c r="H20" i="11"/>
  <c r="C20" i="11"/>
  <c r="L20" i="11" s="1"/>
  <c r="M20" i="11" s="1"/>
  <c r="J19" i="11"/>
  <c r="K19" i="11" s="1"/>
  <c r="K23" i="11" s="1"/>
  <c r="H19" i="11"/>
  <c r="J15" i="11"/>
  <c r="K15" i="11" s="1"/>
  <c r="L15" i="11" s="1"/>
  <c r="M15" i="11" s="1"/>
  <c r="H15" i="11"/>
  <c r="C15" i="11"/>
  <c r="J14" i="11"/>
  <c r="K14" i="11" s="1"/>
  <c r="H14" i="11"/>
  <c r="J13" i="11"/>
  <c r="K13" i="11" s="1"/>
  <c r="H13" i="11"/>
  <c r="J12" i="11"/>
  <c r="K12" i="11" s="1"/>
  <c r="H12" i="11"/>
  <c r="C12" i="11"/>
  <c r="J8" i="11"/>
  <c r="K8" i="11" s="1"/>
  <c r="H8" i="11"/>
  <c r="J7" i="11"/>
  <c r="K7" i="11" s="1"/>
  <c r="H7" i="11"/>
  <c r="J6" i="11"/>
  <c r="K6" i="11" s="1"/>
  <c r="H6" i="11"/>
  <c r="A1" i="11"/>
  <c r="J13" i="10"/>
  <c r="C13" i="10"/>
  <c r="K13" i="10" s="1"/>
  <c r="L13" i="10" s="1"/>
  <c r="J12" i="10"/>
  <c r="J11" i="10"/>
  <c r="C11" i="10"/>
  <c r="K11" i="10" s="1"/>
  <c r="L11" i="10" s="1"/>
  <c r="J10" i="10"/>
  <c r="J9" i="10"/>
  <c r="J8" i="10"/>
  <c r="C8" i="10"/>
  <c r="K8" i="10" s="1"/>
  <c r="L8" i="10" s="1"/>
  <c r="J7" i="10"/>
  <c r="C7" i="10"/>
  <c r="K7" i="10" s="1"/>
  <c r="L7" i="10" s="1"/>
  <c r="J6" i="10"/>
  <c r="A1" i="10"/>
  <c r="J10" i="9"/>
  <c r="C10" i="9"/>
  <c r="K10" i="9" s="1"/>
  <c r="L10" i="9" s="1"/>
  <c r="J9" i="9"/>
  <c r="J8" i="9"/>
  <c r="J7" i="9"/>
  <c r="J6" i="9"/>
  <c r="A1" i="9"/>
  <c r="A1" i="8"/>
  <c r="A1" i="7"/>
  <c r="J75" i="6"/>
  <c r="K75" i="6" s="1"/>
  <c r="I75" i="6"/>
  <c r="H75" i="6"/>
  <c r="C75" i="6"/>
  <c r="J74" i="6"/>
  <c r="K74" i="6" s="1"/>
  <c r="I74" i="6"/>
  <c r="H74" i="6"/>
  <c r="C74" i="6"/>
  <c r="J73" i="6"/>
  <c r="K73" i="6" s="1"/>
  <c r="H73" i="6"/>
  <c r="I73" i="6" s="1"/>
  <c r="C73" i="6"/>
  <c r="K72" i="6"/>
  <c r="J72" i="6"/>
  <c r="I72" i="6"/>
  <c r="H72" i="6"/>
  <c r="H76" i="6" s="1"/>
  <c r="H11" i="7" s="1"/>
  <c r="C72" i="6"/>
  <c r="J71" i="6"/>
  <c r="J76" i="6" s="1"/>
  <c r="I11" i="7" s="1"/>
  <c r="H71" i="6"/>
  <c r="C71" i="6"/>
  <c r="I71" i="6" s="1"/>
  <c r="K66" i="6"/>
  <c r="J66" i="6"/>
  <c r="H66" i="6"/>
  <c r="C66" i="6"/>
  <c r="I66" i="6" s="1"/>
  <c r="J65" i="6"/>
  <c r="K65" i="6" s="1"/>
  <c r="H65" i="6"/>
  <c r="C65" i="6"/>
  <c r="I65" i="6" s="1"/>
  <c r="J64" i="6"/>
  <c r="K64" i="6" s="1"/>
  <c r="H64" i="6"/>
  <c r="C64" i="6"/>
  <c r="I64" i="6" s="1"/>
  <c r="J63" i="6"/>
  <c r="K63" i="6" s="1"/>
  <c r="H63" i="6"/>
  <c r="H67" i="6" s="1"/>
  <c r="H10" i="7" s="1"/>
  <c r="C63" i="6"/>
  <c r="I63" i="6" s="1"/>
  <c r="J62" i="6"/>
  <c r="J67" i="6" s="1"/>
  <c r="I10" i="7" s="1"/>
  <c r="H62" i="6"/>
  <c r="C62" i="6"/>
  <c r="I62" i="6" s="1"/>
  <c r="K57" i="6"/>
  <c r="J57" i="6"/>
  <c r="I57" i="6"/>
  <c r="H57" i="6"/>
  <c r="C57" i="6"/>
  <c r="K56" i="6"/>
  <c r="J56" i="6"/>
  <c r="H56" i="6"/>
  <c r="C56" i="6"/>
  <c r="I56" i="6" s="1"/>
  <c r="K55" i="6"/>
  <c r="J55" i="6"/>
  <c r="H55" i="6"/>
  <c r="C55" i="6"/>
  <c r="I55" i="6" s="1"/>
  <c r="K54" i="6"/>
  <c r="J54" i="6"/>
  <c r="I54" i="6"/>
  <c r="H54" i="6"/>
  <c r="C54" i="6"/>
  <c r="J53" i="6"/>
  <c r="J58" i="6" s="1"/>
  <c r="I9" i="7" s="1"/>
  <c r="H53" i="6"/>
  <c r="H58" i="6" s="1"/>
  <c r="H9" i="7" s="1"/>
  <c r="J48" i="6"/>
  <c r="K48" i="6" s="1"/>
  <c r="H48" i="6"/>
  <c r="C48" i="6"/>
  <c r="I48" i="6" s="1"/>
  <c r="J47" i="6"/>
  <c r="K47" i="6" s="1"/>
  <c r="H47" i="6"/>
  <c r="I47" i="6" s="1"/>
  <c r="C47" i="6"/>
  <c r="K46" i="6"/>
  <c r="J46" i="6"/>
  <c r="H46" i="6"/>
  <c r="C46" i="6"/>
  <c r="I46" i="6" s="1"/>
  <c r="J45" i="6"/>
  <c r="K45" i="6" s="1"/>
  <c r="H45" i="6"/>
  <c r="C45" i="6"/>
  <c r="I45" i="6" s="1"/>
  <c r="J44" i="6"/>
  <c r="K44" i="6" s="1"/>
  <c r="K49" i="6" s="1"/>
  <c r="H44" i="6"/>
  <c r="H49" i="6" s="1"/>
  <c r="H8" i="7" s="1"/>
  <c r="C44" i="6"/>
  <c r="I44" i="6" s="1"/>
  <c r="H40" i="6"/>
  <c r="H7" i="7" s="1"/>
  <c r="J39" i="6"/>
  <c r="J40" i="6" s="1"/>
  <c r="I7" i="7" s="1"/>
  <c r="H39" i="6"/>
  <c r="C39" i="6"/>
  <c r="I39" i="6" s="1"/>
  <c r="K38" i="6"/>
  <c r="J38" i="6"/>
  <c r="H38" i="6"/>
  <c r="C38" i="6"/>
  <c r="I38" i="6" s="1"/>
  <c r="K37" i="6"/>
  <c r="J37" i="6"/>
  <c r="I37" i="6"/>
  <c r="H37" i="6"/>
  <c r="C37" i="6"/>
  <c r="J36" i="6"/>
  <c r="K36" i="6" s="1"/>
  <c r="H36" i="6"/>
  <c r="I36" i="6" s="1"/>
  <c r="C36" i="6"/>
  <c r="J35" i="6"/>
  <c r="K35" i="6" s="1"/>
  <c r="H35" i="6"/>
  <c r="J30" i="6"/>
  <c r="K30" i="6" s="1"/>
  <c r="H30" i="6"/>
  <c r="H31" i="6" s="1"/>
  <c r="H6" i="7" s="1"/>
  <c r="C30" i="6"/>
  <c r="K29" i="6"/>
  <c r="J29" i="6"/>
  <c r="H29" i="6"/>
  <c r="C29" i="6"/>
  <c r="I29" i="6" s="1"/>
  <c r="K28" i="6"/>
  <c r="J28" i="6"/>
  <c r="H28" i="6"/>
  <c r="C28" i="6"/>
  <c r="I28" i="6" s="1"/>
  <c r="J27" i="6"/>
  <c r="K27" i="6" s="1"/>
  <c r="I27" i="6"/>
  <c r="H27" i="6"/>
  <c r="C27" i="6"/>
  <c r="J26" i="6"/>
  <c r="K26" i="6" s="1"/>
  <c r="K31" i="6" s="1"/>
  <c r="H26" i="6"/>
  <c r="J22" i="6"/>
  <c r="I5" i="7" s="1"/>
  <c r="H22" i="6"/>
  <c r="H5" i="7" s="1"/>
  <c r="J21" i="6"/>
  <c r="K21" i="6" s="1"/>
  <c r="H21" i="6"/>
  <c r="C21" i="6"/>
  <c r="I21" i="6" s="1"/>
  <c r="K20" i="6"/>
  <c r="J20" i="6"/>
  <c r="H20" i="6"/>
  <c r="C20" i="6"/>
  <c r="I20" i="6" s="1"/>
  <c r="K19" i="6"/>
  <c r="J19" i="6"/>
  <c r="H19" i="6"/>
  <c r="I19" i="6" s="1"/>
  <c r="C19" i="6"/>
  <c r="J18" i="6"/>
  <c r="K18" i="6" s="1"/>
  <c r="H18" i="6"/>
  <c r="C18" i="6"/>
  <c r="I18" i="6" s="1"/>
  <c r="K17" i="6"/>
  <c r="J17" i="6"/>
  <c r="H17" i="6"/>
  <c r="J12" i="6"/>
  <c r="K12" i="6" s="1"/>
  <c r="H12" i="6"/>
  <c r="I12" i="6" s="1"/>
  <c r="C12" i="6"/>
  <c r="K11" i="6"/>
  <c r="J11" i="6"/>
  <c r="H11" i="6"/>
  <c r="C11" i="6"/>
  <c r="I11" i="6" s="1"/>
  <c r="J10" i="6"/>
  <c r="J13" i="6" s="1"/>
  <c r="H10" i="6"/>
  <c r="I10" i="6" s="1"/>
  <c r="C10" i="6"/>
  <c r="J9" i="6"/>
  <c r="K9" i="6" s="1"/>
  <c r="I9" i="6"/>
  <c r="H9" i="6"/>
  <c r="C9" i="6"/>
  <c r="K8" i="6"/>
  <c r="J8" i="6"/>
  <c r="H8" i="6"/>
  <c r="H13" i="6" s="1"/>
  <c r="A1" i="6"/>
  <c r="A1" i="5"/>
  <c r="H34" i="4"/>
  <c r="G34" i="4"/>
  <c r="E34" i="4"/>
  <c r="H33" i="4"/>
  <c r="G33" i="4"/>
  <c r="H32" i="4"/>
  <c r="G32" i="4"/>
  <c r="H31" i="4"/>
  <c r="G31" i="4"/>
  <c r="E31" i="4"/>
  <c r="H30" i="4"/>
  <c r="G30" i="4"/>
  <c r="H29" i="4"/>
  <c r="G29" i="4"/>
  <c r="E29" i="4"/>
  <c r="H28" i="4"/>
  <c r="G28" i="4"/>
  <c r="E27" i="4"/>
  <c r="H26" i="4"/>
  <c r="G26" i="4"/>
  <c r="E26" i="4"/>
  <c r="E25" i="4"/>
  <c r="H24" i="4"/>
  <c r="E24" i="4"/>
  <c r="G23" i="4"/>
  <c r="E22" i="4"/>
  <c r="G19" i="4"/>
  <c r="G18" i="4"/>
  <c r="H17" i="4"/>
  <c r="E16" i="4"/>
  <c r="H14" i="4"/>
  <c r="E14" i="4"/>
  <c r="H13" i="4"/>
  <c r="G13" i="4"/>
  <c r="H12" i="4"/>
  <c r="G11" i="4"/>
  <c r="H9" i="4"/>
  <c r="G9" i="4"/>
  <c r="G8" i="4"/>
  <c r="E7" i="4"/>
  <c r="H5" i="4"/>
  <c r="G5" i="4"/>
  <c r="E5" i="4"/>
  <c r="F31" i="3"/>
  <c r="J31" i="3" s="1"/>
  <c r="J30" i="3"/>
  <c r="L30" i="3" s="1"/>
  <c r="M30" i="3" s="1"/>
  <c r="F30" i="3"/>
  <c r="J29" i="3"/>
  <c r="L29" i="3" s="1"/>
  <c r="M29" i="3" s="1"/>
  <c r="I29" i="3"/>
  <c r="G29" i="3"/>
  <c r="I28" i="3"/>
  <c r="G28" i="3"/>
  <c r="J28" i="3" s="1"/>
  <c r="L28" i="3" s="1"/>
  <c r="M28" i="3" s="1"/>
  <c r="I27" i="3"/>
  <c r="G27" i="3"/>
  <c r="J27" i="3" s="1"/>
  <c r="L27" i="3" s="1"/>
  <c r="M27" i="3" s="1"/>
  <c r="F27" i="3"/>
  <c r="I26" i="3"/>
  <c r="G26" i="3"/>
  <c r="J26" i="3" s="1"/>
  <c r="L26" i="3" s="1"/>
  <c r="M26" i="3" s="1"/>
  <c r="I25" i="3"/>
  <c r="G25" i="3"/>
  <c r="G24" i="4" s="1"/>
  <c r="F25" i="3"/>
  <c r="J24" i="3"/>
  <c r="L24" i="3" s="1"/>
  <c r="M24" i="3" s="1"/>
  <c r="I24" i="3"/>
  <c r="H23" i="4" s="1"/>
  <c r="G24" i="3"/>
  <c r="J23" i="3"/>
  <c r="L23" i="3" s="1"/>
  <c r="M23" i="3" s="1"/>
  <c r="I23" i="3"/>
  <c r="K23" i="3" s="1"/>
  <c r="G23" i="3"/>
  <c r="G22" i="4" s="1"/>
  <c r="J22" i="3"/>
  <c r="K22" i="3" s="1"/>
  <c r="I22" i="3"/>
  <c r="H21" i="4" s="1"/>
  <c r="G22" i="3"/>
  <c r="G21" i="4" s="1"/>
  <c r="F22" i="3"/>
  <c r="L21" i="3"/>
  <c r="M21" i="3" s="1"/>
  <c r="K21" i="3"/>
  <c r="J21" i="3"/>
  <c r="I21" i="3"/>
  <c r="H20" i="4" s="1"/>
  <c r="G21" i="3"/>
  <c r="G20" i="4" s="1"/>
  <c r="F21" i="3"/>
  <c r="L20" i="3"/>
  <c r="J20" i="3"/>
  <c r="I20" i="3"/>
  <c r="H19" i="4" s="1"/>
  <c r="G20" i="3"/>
  <c r="I19" i="3"/>
  <c r="G19" i="3"/>
  <c r="J19" i="3" s="1"/>
  <c r="L19" i="3" s="1"/>
  <c r="M19" i="3" s="1"/>
  <c r="I18" i="3"/>
  <c r="G18" i="3"/>
  <c r="J18" i="3" s="1"/>
  <c r="I17" i="3"/>
  <c r="G17" i="3"/>
  <c r="J17" i="3" s="1"/>
  <c r="L17" i="3" s="1"/>
  <c r="M17" i="3" s="1"/>
  <c r="F17" i="3"/>
  <c r="I16" i="3"/>
  <c r="H15" i="4" s="1"/>
  <c r="G16" i="3"/>
  <c r="G15" i="4" s="1"/>
  <c r="F16" i="3"/>
  <c r="I15" i="3"/>
  <c r="G15" i="3"/>
  <c r="G14" i="4" s="1"/>
  <c r="I14" i="3"/>
  <c r="G14" i="3"/>
  <c r="J14" i="3" s="1"/>
  <c r="L14" i="3" s="1"/>
  <c r="M14" i="3" s="1"/>
  <c r="J13" i="3"/>
  <c r="L13" i="3" s="1"/>
  <c r="M13" i="3" s="1"/>
  <c r="I13" i="3"/>
  <c r="K13" i="3" s="1"/>
  <c r="G13" i="3"/>
  <c r="G12" i="4" s="1"/>
  <c r="J12" i="3"/>
  <c r="K12" i="3" s="1"/>
  <c r="I12" i="3"/>
  <c r="H11" i="4" s="1"/>
  <c r="G12" i="3"/>
  <c r="I11" i="3"/>
  <c r="H10" i="4" s="1"/>
  <c r="G11" i="3"/>
  <c r="G10" i="4" s="1"/>
  <c r="I10" i="3"/>
  <c r="G10" i="3"/>
  <c r="J10" i="3" s="1"/>
  <c r="L9" i="3"/>
  <c r="M9" i="3" s="1"/>
  <c r="K9" i="3"/>
  <c r="J9" i="3"/>
  <c r="I9" i="3"/>
  <c r="H8" i="4" s="1"/>
  <c r="G9" i="3"/>
  <c r="I8" i="3"/>
  <c r="H7" i="4" s="1"/>
  <c r="G8" i="3"/>
  <c r="G7" i="4" s="1"/>
  <c r="F8" i="3"/>
  <c r="I7" i="3"/>
  <c r="H6" i="4" s="1"/>
  <c r="G7" i="3"/>
  <c r="G6" i="4" s="1"/>
  <c r="F7" i="3"/>
  <c r="I6" i="3"/>
  <c r="G6" i="3"/>
  <c r="J6" i="3" s="1"/>
  <c r="F6" i="3"/>
  <c r="A1" i="3"/>
  <c r="A1" i="2"/>
  <c r="B32" i="1"/>
  <c r="E28" i="4" s="1"/>
  <c r="B31" i="1"/>
  <c r="B30" i="1"/>
  <c r="C33" i="11" s="1"/>
  <c r="B29" i="1"/>
  <c r="B28" i="1"/>
  <c r="E32" i="4" s="1"/>
  <c r="B27" i="1"/>
  <c r="B26" i="1"/>
  <c r="C9" i="9" s="1"/>
  <c r="K9" i="9" s="1"/>
  <c r="L9" i="9" s="1"/>
  <c r="B25" i="1"/>
  <c r="B24" i="1"/>
  <c r="E11" i="4" s="1"/>
  <c r="B23" i="1"/>
  <c r="B22" i="1"/>
  <c r="B21" i="1"/>
  <c r="F34" i="3" s="1"/>
  <c r="J34" i="3" s="1"/>
  <c r="B20" i="1"/>
  <c r="B19" i="1"/>
  <c r="B18" i="1"/>
  <c r="B17" i="1"/>
  <c r="B16" i="1"/>
  <c r="B15" i="1"/>
  <c r="F15" i="3" s="1"/>
  <c r="B14" i="1"/>
  <c r="E21" i="4" s="1"/>
  <c r="B13" i="1"/>
  <c r="L26" i="11" l="1"/>
  <c r="L47" i="11"/>
  <c r="K44" i="11"/>
  <c r="L41" i="11"/>
  <c r="M41" i="11" s="1"/>
  <c r="L42" i="11"/>
  <c r="M42" i="11" s="1"/>
  <c r="K16" i="11"/>
  <c r="K51" i="11"/>
  <c r="K29" i="11"/>
  <c r="K9" i="11"/>
  <c r="L33" i="11"/>
  <c r="M33" i="11" s="1"/>
  <c r="L49" i="11"/>
  <c r="M49" i="11" s="1"/>
  <c r="K26" i="3"/>
  <c r="K27" i="3"/>
  <c r="K6" i="3"/>
  <c r="L6" i="3"/>
  <c r="M47" i="11"/>
  <c r="M26" i="11"/>
  <c r="K15" i="3"/>
  <c r="I4" i="7"/>
  <c r="K17" i="3"/>
  <c r="K31" i="3"/>
  <c r="L31" i="3"/>
  <c r="M31" i="3" s="1"/>
  <c r="H78" i="6"/>
  <c r="H81" i="6" s="1"/>
  <c r="C5" i="12" s="1"/>
  <c r="C9" i="12" s="1"/>
  <c r="H4" i="7"/>
  <c r="H13" i="7" s="1"/>
  <c r="K22" i="6"/>
  <c r="K40" i="6"/>
  <c r="L10" i="3"/>
  <c r="M10" i="3" s="1"/>
  <c r="K10" i="3"/>
  <c r="L18" i="3"/>
  <c r="M18" i="3" s="1"/>
  <c r="K18" i="3"/>
  <c r="K28" i="3"/>
  <c r="K19" i="3"/>
  <c r="L12" i="11"/>
  <c r="K36" i="11"/>
  <c r="L34" i="3"/>
  <c r="M34" i="3" s="1"/>
  <c r="K34" i="3"/>
  <c r="K14" i="3"/>
  <c r="M20" i="3"/>
  <c r="J15" i="3"/>
  <c r="L15" i="3" s="1"/>
  <c r="M15" i="3" s="1"/>
  <c r="F20" i="3"/>
  <c r="K24" i="3"/>
  <c r="E12" i="4"/>
  <c r="H22" i="4"/>
  <c r="J25" i="3"/>
  <c r="L25" i="3" s="1"/>
  <c r="M25" i="3" s="1"/>
  <c r="C10" i="10"/>
  <c r="K10" i="10" s="1"/>
  <c r="L10" i="10" s="1"/>
  <c r="F29" i="3"/>
  <c r="F35" i="3"/>
  <c r="J35" i="3" s="1"/>
  <c r="E33" i="4"/>
  <c r="K71" i="6"/>
  <c r="K76" i="6" s="1"/>
  <c r="F11" i="3"/>
  <c r="E23" i="4"/>
  <c r="J49" i="6"/>
  <c r="I8" i="7" s="1"/>
  <c r="C6" i="9"/>
  <c r="K6" i="9" s="1"/>
  <c r="K29" i="3"/>
  <c r="E13" i="4"/>
  <c r="K39" i="6"/>
  <c r="C53" i="6"/>
  <c r="I53" i="6" s="1"/>
  <c r="K62" i="6"/>
  <c r="K67" i="6" s="1"/>
  <c r="C8" i="11"/>
  <c r="L8" i="11" s="1"/>
  <c r="M8" i="11" s="1"/>
  <c r="C34" i="11"/>
  <c r="L34" i="11" s="1"/>
  <c r="M34" i="11" s="1"/>
  <c r="K10" i="6"/>
  <c r="K13" i="6" s="1"/>
  <c r="K78" i="6" s="1"/>
  <c r="K81" i="6" s="1"/>
  <c r="K83" i="6" s="1"/>
  <c r="I30" i="6"/>
  <c r="C7" i="9"/>
  <c r="K7" i="9" s="1"/>
  <c r="L7" i="9" s="1"/>
  <c r="C50" i="11"/>
  <c r="L50" i="11" s="1"/>
  <c r="M50" i="11" s="1"/>
  <c r="C19" i="11"/>
  <c r="L19" i="11" s="1"/>
  <c r="K53" i="6"/>
  <c r="K58" i="6" s="1"/>
  <c r="J7" i="3"/>
  <c r="L7" i="3" s="1"/>
  <c r="M7" i="3" s="1"/>
  <c r="C27" i="11"/>
  <c r="L27" i="11" s="1"/>
  <c r="M27" i="11" s="1"/>
  <c r="J16" i="3"/>
  <c r="L16" i="3" s="1"/>
  <c r="M16" i="3" s="1"/>
  <c r="F12" i="3"/>
  <c r="K16" i="3"/>
  <c r="K30" i="3"/>
  <c r="G25" i="4"/>
  <c r="K7" i="3"/>
  <c r="E15" i="4"/>
  <c r="H25" i="4"/>
  <c r="J31" i="6"/>
  <c r="I6" i="7" s="1"/>
  <c r="C8" i="9"/>
  <c r="K8" i="9" s="1"/>
  <c r="L8" i="9" s="1"/>
  <c r="C35" i="11"/>
  <c r="L35" i="11" s="1"/>
  <c r="M35" i="11" s="1"/>
  <c r="F26" i="3"/>
  <c r="C12" i="10"/>
  <c r="K12" i="10" s="1"/>
  <c r="L12" i="10" s="1"/>
  <c r="C43" i="11"/>
  <c r="L43" i="11" s="1"/>
  <c r="M43" i="11" s="1"/>
  <c r="C35" i="6"/>
  <c r="I35" i="6" s="1"/>
  <c r="G16" i="4"/>
  <c r="E6" i="4"/>
  <c r="H16" i="4"/>
  <c r="G27" i="4"/>
  <c r="C28" i="11"/>
  <c r="L28" i="11" s="1"/>
  <c r="M28" i="11" s="1"/>
  <c r="J8" i="3"/>
  <c r="L8" i="3" s="1"/>
  <c r="M8" i="3" s="1"/>
  <c r="F13" i="3"/>
  <c r="E17" i="4"/>
  <c r="J11" i="5" s="1"/>
  <c r="H27" i="4"/>
  <c r="C26" i="6"/>
  <c r="I26" i="6" s="1"/>
  <c r="K20" i="3"/>
  <c r="K8" i="3"/>
  <c r="F32" i="3"/>
  <c r="J32" i="3" s="1"/>
  <c r="G17" i="4"/>
  <c r="C13" i="11"/>
  <c r="L13" i="11" s="1"/>
  <c r="M13" i="11" s="1"/>
  <c r="C39" i="11"/>
  <c r="L39" i="11" s="1"/>
  <c r="C21" i="11"/>
  <c r="L21" i="11" s="1"/>
  <c r="M21" i="11" s="1"/>
  <c r="E8" i="4"/>
  <c r="H18" i="4"/>
  <c r="F23" i="3"/>
  <c r="F33" i="3"/>
  <c r="J33" i="3" s="1"/>
  <c r="E19" i="4"/>
  <c r="E18" i="4"/>
  <c r="L22" i="3"/>
  <c r="M22" i="3" s="1"/>
  <c r="C17" i="6"/>
  <c r="I17" i="6" s="1"/>
  <c r="F14" i="3"/>
  <c r="E30" i="4"/>
  <c r="C9" i="10"/>
  <c r="K9" i="10" s="1"/>
  <c r="L9" i="10" s="1"/>
  <c r="E9" i="4"/>
  <c r="C8" i="6"/>
  <c r="I8" i="6" s="1"/>
  <c r="C6" i="11"/>
  <c r="L6" i="11" s="1"/>
  <c r="C32" i="11"/>
  <c r="L32" i="11" s="1"/>
  <c r="F28" i="3"/>
  <c r="E20" i="4"/>
  <c r="C14" i="11"/>
  <c r="L14" i="11" s="1"/>
  <c r="M14" i="11" s="1"/>
  <c r="C40" i="11"/>
  <c r="L40" i="11" s="1"/>
  <c r="M40" i="11" s="1"/>
  <c r="F18" i="3"/>
  <c r="C48" i="11"/>
  <c r="L48" i="11" s="1"/>
  <c r="M48" i="11" s="1"/>
  <c r="J11" i="3"/>
  <c r="L12" i="3"/>
  <c r="M12" i="3" s="1"/>
  <c r="F10" i="3"/>
  <c r="E10" i="4"/>
  <c r="C6" i="10"/>
  <c r="K6" i="10" s="1"/>
  <c r="F9" i="3"/>
  <c r="F24" i="3"/>
  <c r="F19" i="3"/>
  <c r="C7" i="11"/>
  <c r="L7" i="11" s="1"/>
  <c r="M7" i="11" s="1"/>
  <c r="L11" i="3" l="1"/>
  <c r="M11" i="3" s="1"/>
  <c r="K11" i="3"/>
  <c r="M12" i="11"/>
  <c r="L16" i="11"/>
  <c r="M16" i="11" s="1"/>
  <c r="J9" i="5"/>
  <c r="J10" i="5"/>
  <c r="G9" i="5"/>
  <c r="I9" i="5" s="1"/>
  <c r="M9" i="5" s="1"/>
  <c r="F7" i="7" s="1"/>
  <c r="G13" i="5"/>
  <c r="I13" i="5" s="1"/>
  <c r="M13" i="5" s="1"/>
  <c r="F11" i="7" s="1"/>
  <c r="G12" i="5"/>
  <c r="I12" i="5" s="1"/>
  <c r="M12" i="5" s="1"/>
  <c r="F10" i="7" s="1"/>
  <c r="G10" i="5"/>
  <c r="I10" i="5" s="1"/>
  <c r="M10" i="5" s="1"/>
  <c r="F8" i="7" s="1"/>
  <c r="K11" i="9"/>
  <c r="L6" i="9"/>
  <c r="G6" i="5"/>
  <c r="I6" i="5" s="1"/>
  <c r="M6" i="5" s="1"/>
  <c r="M32" i="11"/>
  <c r="L36" i="11"/>
  <c r="M36" i="11" s="1"/>
  <c r="M6" i="11"/>
  <c r="L9" i="11"/>
  <c r="M9" i="11" s="1"/>
  <c r="J12" i="5"/>
  <c r="I13" i="7"/>
  <c r="M19" i="11"/>
  <c r="L23" i="11"/>
  <c r="M23" i="11" s="1"/>
  <c r="J6" i="5"/>
  <c r="J78" i="6"/>
  <c r="J81" i="6" s="1"/>
  <c r="L33" i="3"/>
  <c r="M33" i="3" s="1"/>
  <c r="K33" i="3"/>
  <c r="L35" i="3"/>
  <c r="M35" i="3" s="1"/>
  <c r="K35" i="3"/>
  <c r="G11" i="5"/>
  <c r="I11" i="5" s="1"/>
  <c r="M11" i="5" s="1"/>
  <c r="F9" i="7" s="1"/>
  <c r="L29" i="11"/>
  <c r="M29" i="11" s="1"/>
  <c r="J13" i="5"/>
  <c r="K25" i="3"/>
  <c r="K36" i="3" s="1"/>
  <c r="L51" i="11"/>
  <c r="M51" i="11" s="1"/>
  <c r="M39" i="11"/>
  <c r="L44" i="11"/>
  <c r="M44" i="11" s="1"/>
  <c r="G8" i="5"/>
  <c r="I8" i="5" s="1"/>
  <c r="M8" i="5" s="1"/>
  <c r="F6" i="7" s="1"/>
  <c r="J36" i="3"/>
  <c r="J7" i="5"/>
  <c r="M6" i="3"/>
  <c r="G7" i="5"/>
  <c r="I7" i="5" s="1"/>
  <c r="M7" i="5" s="1"/>
  <c r="F5" i="7" s="1"/>
  <c r="L6" i="10"/>
  <c r="K14" i="10"/>
  <c r="J8" i="5"/>
  <c r="K32" i="3"/>
  <c r="L32" i="3"/>
  <c r="M32" i="3" s="1"/>
  <c r="J83" i="6" l="1"/>
  <c r="D5" i="12"/>
  <c r="E5" i="12" s="1"/>
  <c r="L14" i="10"/>
  <c r="K16" i="10"/>
  <c r="M14" i="5"/>
  <c r="M17" i="5" s="1"/>
  <c r="F4" i="7"/>
  <c r="F13" i="7" s="1"/>
  <c r="B4" i="12" s="1"/>
  <c r="B9" i="12" s="1"/>
  <c r="B11" i="12" s="1"/>
  <c r="K13" i="9"/>
  <c r="L11" i="9"/>
  <c r="L36" i="3"/>
  <c r="M36" i="3"/>
  <c r="M41" i="3" s="1"/>
  <c r="L13" i="9" l="1"/>
  <c r="D6" i="12"/>
  <c r="E6" i="12" s="1"/>
  <c r="L41" i="3"/>
  <c r="I38" i="3"/>
  <c r="D7" i="12"/>
  <c r="E7" i="12" s="1"/>
  <c r="L16" i="10"/>
  <c r="F12" i="5" l="1"/>
  <c r="K12" i="5" s="1"/>
  <c r="L12" i="5" s="1"/>
  <c r="N12" i="5" s="1"/>
  <c r="F8" i="5"/>
  <c r="K8" i="5" s="1"/>
  <c r="L8" i="5" s="1"/>
  <c r="N8" i="5" s="1"/>
  <c r="F11" i="5"/>
  <c r="K11" i="5" s="1"/>
  <c r="L11" i="5" s="1"/>
  <c r="N11" i="5" s="1"/>
  <c r="F7" i="5"/>
  <c r="K7" i="5" s="1"/>
  <c r="L7" i="5" s="1"/>
  <c r="N7" i="5" s="1"/>
  <c r="F10" i="5"/>
  <c r="K10" i="5" s="1"/>
  <c r="L10" i="5" s="1"/>
  <c r="N10" i="5" s="1"/>
  <c r="F6" i="5"/>
  <c r="K6" i="5" s="1"/>
  <c r="L6" i="5" s="1"/>
  <c r="N6" i="5" s="1"/>
  <c r="F13" i="5"/>
  <c r="K13" i="5" s="1"/>
  <c r="L13" i="5" s="1"/>
  <c r="N13" i="5" s="1"/>
  <c r="F9" i="5"/>
  <c r="K9" i="5" s="1"/>
  <c r="L9" i="5" s="1"/>
  <c r="N9" i="5" s="1"/>
  <c r="G11" i="7" l="1"/>
  <c r="J11" i="7" s="1"/>
  <c r="K11" i="7" s="1"/>
  <c r="L11" i="7" s="1"/>
  <c r="O13" i="5"/>
  <c r="N14" i="5"/>
  <c r="N17" i="5" s="1"/>
  <c r="N19" i="5" s="1"/>
  <c r="O6" i="5"/>
  <c r="G4" i="7"/>
  <c r="G8" i="7"/>
  <c r="J8" i="7" s="1"/>
  <c r="K8" i="7" s="1"/>
  <c r="L8" i="7" s="1"/>
  <c r="O10" i="5"/>
  <c r="O7" i="5"/>
  <c r="G5" i="7"/>
  <c r="J5" i="7" s="1"/>
  <c r="K5" i="7" s="1"/>
  <c r="L5" i="7" s="1"/>
  <c r="O11" i="5"/>
  <c r="G9" i="7"/>
  <c r="J9" i="7" s="1"/>
  <c r="K9" i="7" s="1"/>
  <c r="L9" i="7" s="1"/>
  <c r="G6" i="7"/>
  <c r="J6" i="7" s="1"/>
  <c r="K6" i="7" s="1"/>
  <c r="L6" i="7" s="1"/>
  <c r="O8" i="5"/>
  <c r="G7" i="7"/>
  <c r="J7" i="7" s="1"/>
  <c r="K7" i="7" s="1"/>
  <c r="L7" i="7" s="1"/>
  <c r="O9" i="5"/>
  <c r="G10" i="7"/>
  <c r="J10" i="7" s="1"/>
  <c r="K10" i="7" s="1"/>
  <c r="L10" i="7" s="1"/>
  <c r="O12" i="5"/>
  <c r="O14" i="5" l="1"/>
  <c r="O17" i="5" s="1"/>
  <c r="O19" i="5" s="1"/>
  <c r="G13" i="7"/>
  <c r="D4" i="12" s="1"/>
  <c r="J4" i="7"/>
  <c r="J13" i="7" l="1"/>
  <c r="K4" i="7"/>
  <c r="D9" i="12"/>
  <c r="E9" i="12" s="1"/>
  <c r="E4" i="12"/>
  <c r="K13" i="7" l="1"/>
  <c r="L4" i="7"/>
  <c r="L13" i="7" s="1"/>
</calcChain>
</file>

<file path=xl/sharedStrings.xml><?xml version="1.0" encoding="utf-8"?>
<sst xmlns="http://schemas.openxmlformats.org/spreadsheetml/2006/main" count="1301" uniqueCount="423">
  <si>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</si>
  <si>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</si>
  <si>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</si>
  <si>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</si>
  <si>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</si>
  <si>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</si>
  <si>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</si>
  <si>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</si>
  <si>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</si>
  <si>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</si>
  <si>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255J</t>
  </si>
  <si>
    <t>235J</t>
  </si>
  <si>
    <t>4W</t>
  </si>
  <si>
    <t>3W</t>
  </si>
  <si>
    <t>153J</t>
  </si>
  <si>
    <t>141J</t>
  </si>
  <si>
    <t>2W</t>
  </si>
  <si>
    <t>94J</t>
  </si>
  <si>
    <t>1W</t>
  </si>
  <si>
    <t>51J</t>
  </si>
  <si>
    <t>47J</t>
  </si>
  <si>
    <t>26J</t>
  </si>
  <si>
    <t>12J</t>
  </si>
  <si>
    <t>9J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</si>
  <si>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</si>
  <si>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</si>
  <si>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</si>
  <si>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</si>
  <si>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</si>
  <si>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</si>
  <si>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</si>
  <si>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</si>
  <si>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</si>
  <si>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</si>
  <si>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</si>
  <si>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</si>
  <si>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</si>
  <si>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</si>
  <si>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</si>
  <si>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</si>
  <si>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</si>
  <si>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</si>
  <si>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BHV</t>
  </si>
  <si>
    <t>Kantoor-/personeels-/vergaderruimte - harde vloeren (volledig)</t>
  </si>
  <si>
    <t>LHB</t>
  </si>
  <si>
    <t xml:space="preserve">L    </t>
  </si>
  <si>
    <t>Les-/theorielokaal  - harde vloer (basis)</t>
  </si>
  <si>
    <t>LHV</t>
  </si>
  <si>
    <t>Les-/theorielokaal  - harde vloer (volledig)</t>
  </si>
  <si>
    <t>PUHB</t>
  </si>
  <si>
    <t>Praktijklokaal - harde vloer (basis)</t>
  </si>
  <si>
    <t>PUHV</t>
  </si>
  <si>
    <t>Praktijklokaal - harde vloer (volledig)</t>
  </si>
  <si>
    <t>LZV</t>
  </si>
  <si>
    <t>Les-/theorielokaal  - zachte vloer (basis)</t>
  </si>
  <si>
    <t>Les-/theorielokaal  - zachte vloer (volledig)</t>
  </si>
  <si>
    <t>DHB</t>
  </si>
  <si>
    <t xml:space="preserve">S    </t>
  </si>
  <si>
    <t>Douche/wsruimte - harde vloer (basis)</t>
  </si>
  <si>
    <t>KHB</t>
  </si>
  <si>
    <t>Kleedruimte  - harde vloer (basis)</t>
  </si>
  <si>
    <t>DHV</t>
  </si>
  <si>
    <t>Douche/wsruimte - harde vloer (volledig)</t>
  </si>
  <si>
    <t>KHV</t>
  </si>
  <si>
    <t>Kleedruimte  - harde vloer (volledig)</t>
  </si>
  <si>
    <t>EHB</t>
  </si>
  <si>
    <t xml:space="preserve">V    </t>
  </si>
  <si>
    <t>Entree - harde vloer (basis)</t>
  </si>
  <si>
    <t>GHB</t>
  </si>
  <si>
    <t>Gymzaal/fitnessruimten - harde vloer (basis)</t>
  </si>
  <si>
    <t>IHB</t>
  </si>
  <si>
    <t>Lift  - harde vloer (basis)</t>
  </si>
  <si>
    <t>PHB</t>
  </si>
  <si>
    <t>Pantry/keuken - harde vloer (basis)</t>
  </si>
  <si>
    <t>RHB</t>
  </si>
  <si>
    <t>Leef-/restaurtatieve ruimte - harde vloer (basis)</t>
  </si>
  <si>
    <t>SHB</t>
  </si>
  <si>
    <t>Sanitaire ruimte/toiletten harde vloer (basis)</t>
  </si>
  <si>
    <t>THB</t>
  </si>
  <si>
    <t>Trappenhuis - harde vloer (basis)</t>
  </si>
  <si>
    <t>VHB</t>
  </si>
  <si>
    <t>Verkeersruimte/garderobe/repro - harde vloer (basis)</t>
  </si>
  <si>
    <t>EHV</t>
  </si>
  <si>
    <t>Entree - harde vloer (volledig)</t>
  </si>
  <si>
    <t>GHV</t>
  </si>
  <si>
    <t>Gymzaal/fitnessruimten - harde vloer (volledig)</t>
  </si>
  <si>
    <t>IHV</t>
  </si>
  <si>
    <t>Lift  - harde vloer (volledig)</t>
  </si>
  <si>
    <t>PHV</t>
  </si>
  <si>
    <t>Pantry/keuken - harde vloer (volledig)</t>
  </si>
  <si>
    <t>RHV</t>
  </si>
  <si>
    <t>Leef-/restaurtatieve ruimte - harde vloer (volledig)</t>
  </si>
  <si>
    <t>SHV</t>
  </si>
  <si>
    <t>Sanitaire ruimte/toiletten harde vloer (volledig)</t>
  </si>
  <si>
    <t>THV</t>
  </si>
  <si>
    <t>Trappenhuis - harde vloer (volledig)</t>
  </si>
  <si>
    <t>VHV</t>
  </si>
  <si>
    <t>Verkeersruimte/garderobe/repro - harde vloer (volledig)</t>
  </si>
  <si>
    <t>VZB</t>
  </si>
  <si>
    <t>Verkeersruimte/garderobe/repro - zachte vloer (basis)</t>
  </si>
  <si>
    <t>VZV</t>
  </si>
  <si>
    <t>Verkeersruimte/garderobe/repro - zachte vloer (volledig)</t>
  </si>
  <si>
    <t>XBV</t>
  </si>
  <si>
    <t xml:space="preserve">X    </t>
  </si>
  <si>
    <t>Periodiek vloeren - harde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</si>
  <si>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</si>
  <si>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</si>
  <si>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</si>
  <si>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</si>
  <si>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</si>
  <si>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</si>
  <si>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</si>
  <si>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</si>
  <si>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BH</t>
  </si>
  <si>
    <t>interieur</t>
  </si>
  <si>
    <t>Kantoor-/personeels-/vergaderruimte minimaal -  harde vloeren</t>
  </si>
  <si>
    <t>Kantoor-/personeels-/vergaderruimte harde vloeren</t>
  </si>
  <si>
    <t>DH</t>
  </si>
  <si>
    <t>Douche/wasruimte harde vloeren</t>
  </si>
  <si>
    <t>EH</t>
  </si>
  <si>
    <t>Entree harde vloeren</t>
  </si>
  <si>
    <t>GH</t>
  </si>
  <si>
    <t>Gymzaal harde vloer</t>
  </si>
  <si>
    <t>IH</t>
  </si>
  <si>
    <t>Lift harde vloeren</t>
  </si>
  <si>
    <t>KH</t>
  </si>
  <si>
    <t>Kleedruimte - harde vloeren</t>
  </si>
  <si>
    <t>LH</t>
  </si>
  <si>
    <t>Leslokaal/studieruimte - harde vloeren</t>
  </si>
  <si>
    <t>LZ</t>
  </si>
  <si>
    <t>Leslokaal/studieruimte - zachte vloeren</t>
  </si>
  <si>
    <t>PH</t>
  </si>
  <si>
    <t>Pantry/keuken harde vloeren</t>
  </si>
  <si>
    <t>PUH</t>
  </si>
  <si>
    <t>Praktijklokaal uitgebreid - harde vloeren</t>
  </si>
  <si>
    <t>RH</t>
  </si>
  <si>
    <t>Leef-/restauratieve ruimten - harde vloeren</t>
  </si>
  <si>
    <t>SH</t>
  </si>
  <si>
    <t>Sanitaire ruimte/toiletten harde vloer</t>
  </si>
  <si>
    <t>SHN</t>
  </si>
  <si>
    <t>Naloopronde sanitaire ruimte/toiletten harde vloer</t>
  </si>
  <si>
    <t>TH</t>
  </si>
  <si>
    <t>Trappenhuis harde vloeren</t>
  </si>
  <si>
    <t>VH</t>
  </si>
  <si>
    <t>Verkeersruimte/garderobe/repro - harde vloeren</t>
  </si>
  <si>
    <t>VZ</t>
  </si>
  <si>
    <t>Verkeersruimte/garderobe/repro - zachte vloeren</t>
  </si>
  <si>
    <t>XB</t>
  </si>
  <si>
    <t>vloer</t>
  </si>
  <si>
    <t>Periodiek beschermde vloeren</t>
  </si>
  <si>
    <t>Z006B</t>
  </si>
  <si>
    <t>extra</t>
  </si>
  <si>
    <t>Gordijnen reinigen</t>
  </si>
  <si>
    <t>Z007</t>
  </si>
  <si>
    <t>Koelkast reinigen binnenzijde</t>
  </si>
  <si>
    <t>min./keer</t>
  </si>
  <si>
    <t>Z009</t>
  </si>
  <si>
    <t>Magnetron reinigen binnenzijde</t>
  </si>
  <si>
    <t>Z010</t>
  </si>
  <si>
    <t>Keukenkasten binnenzijde reinigen</t>
  </si>
  <si>
    <t xml:space="preserve">Totaal werkdag             </t>
  </si>
  <si>
    <t xml:space="preserve">Gemiddeld uurtarief werkdag   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</si>
  <si>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</si>
  <si>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</si>
  <si>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</si>
  <si>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</si>
  <si>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</si>
  <si>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</si>
  <si>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</si>
  <si>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</si>
  <si>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030</t>
  </si>
  <si>
    <t xml:space="preserve">     090</t>
  </si>
  <si>
    <t xml:space="preserve">     120</t>
  </si>
  <si>
    <t xml:space="preserve">     130</t>
  </si>
  <si>
    <t xml:space="preserve">     140</t>
  </si>
  <si>
    <t xml:space="preserve">     141</t>
  </si>
  <si>
    <t xml:space="preserve">     200</t>
  </si>
  <si>
    <t xml:space="preserve">     250</t>
  </si>
  <si>
    <t>werkdag</t>
  </si>
  <si>
    <t>OBJECT</t>
  </si>
  <si>
    <t>NAAM</t>
  </si>
  <si>
    <t>ADRES</t>
  </si>
  <si>
    <t>PLAATS</t>
  </si>
  <si>
    <t>BASIS UUR- TARIEF</t>
  </si>
  <si>
    <t>UREN/ UITVOERING</t>
  </si>
  <si>
    <t>UREN SUPPLETIE/ UITVOERING</t>
  </si>
  <si>
    <t>UREN TOTAAL/ UITVOERING</t>
  </si>
  <si>
    <t>PRIJS/ UITVOERING</t>
  </si>
  <si>
    <t>PRIJS SUPPLETIE/ UITVOERING</t>
  </si>
  <si>
    <t>PRIJS TOTAAL/ UITVOERING</t>
  </si>
  <si>
    <t>PRIJS/ JAAR (EURO)</t>
  </si>
  <si>
    <t>PRIJS/ MAAND (EURO)</t>
  </si>
  <si>
    <t>030</t>
  </si>
  <si>
    <t>Gebouw 30</t>
  </si>
  <si>
    <t>Ceintuurbaan 2</t>
  </si>
  <si>
    <t>Harderwijk</t>
  </si>
  <si>
    <t>090</t>
  </si>
  <si>
    <t>Gebouw 90</t>
  </si>
  <si>
    <t>120</t>
  </si>
  <si>
    <t>Gebouw 120</t>
  </si>
  <si>
    <t>130</t>
  </si>
  <si>
    <t>Gebouw 130</t>
  </si>
  <si>
    <t>140</t>
  </si>
  <si>
    <t>Gebouw 140</t>
  </si>
  <si>
    <t>141</t>
  </si>
  <si>
    <t>Gebouw 141</t>
  </si>
  <si>
    <t>200</t>
  </si>
  <si>
    <t>Gebouw 200</t>
  </si>
  <si>
    <t>250</t>
  </si>
  <si>
    <t>Gebouw 13 units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</si>
  <si>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</si>
  <si>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</si>
  <si>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</si>
  <si>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</si>
  <si>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</si>
  <si>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</si>
  <si>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</si>
  <si>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</si>
  <si>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</si>
  <si>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</si>
  <si>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</si>
  <si>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030 - Gebouw 30, Ceintuurbaan 2, Harderwijk</t>
  </si>
  <si>
    <t>1000</t>
  </si>
  <si>
    <t>Objectleiding</t>
  </si>
  <si>
    <t>&lt;invullen functie afh. van uren uitvoering per jaar&gt;</t>
  </si>
  <si>
    <t>&lt;invullen functie met vaste uren per dag&gt;</t>
  </si>
  <si>
    <t>Totaal 030 - Gebouw 30, Ceintuurbaan 2, Harderwijk</t>
  </si>
  <si>
    <t>090 - Gebouw 90, Ceintuurbaan 2, Harderwijk</t>
  </si>
  <si>
    <t>Totaal 090 - Gebouw 90, Ceintuurbaan 2, Harderwijk</t>
  </si>
  <si>
    <t>120 - Gebouw 120, Ceintuurbaan 2, Harderwijk</t>
  </si>
  <si>
    <t>Totaal 120 - Gebouw 120, Ceintuurbaan 2, Harderwijk</t>
  </si>
  <si>
    <t>130 - Gebouw 130, Ceintuurbaan 2, Harderwijk</t>
  </si>
  <si>
    <t>Totaal 130 - Gebouw 130, Ceintuurbaan 2, Harderwijk</t>
  </si>
  <si>
    <t>140 - Gebouw 140, Ceintuurbaan 2, Harderwijk</t>
  </si>
  <si>
    <t>Totaal 140 - Gebouw 140, Ceintuurbaan 2, Harderwijk</t>
  </si>
  <si>
    <t>141 - Gebouw 141, Ceintuurbaan 2, Harderwijk</t>
  </si>
  <si>
    <t>Totaal 141 - Gebouw 141, Ceintuurbaan 2, Harderwijk</t>
  </si>
  <si>
    <t>200 - Gebouw 200, Ceintuurbaan 2, Harderwijk</t>
  </si>
  <si>
    <t>Totaal 200 - Gebouw 200, Ceintuurbaan 2, Harderwijk</t>
  </si>
  <si>
    <t>250 - Gebouw 13 units, Ceintuurbaan 2, Harderwijk</t>
  </si>
  <si>
    <t>Totaal 250 - Gebouw 13 units, Ceintuurbaan 2, Harderwijk</t>
  </si>
  <si>
    <t>Totaal niet-meewerkende objectleiding</t>
  </si>
  <si>
    <t>Totaal niet-meewerkende objectleiding (incl. BTW)</t>
  </si>
  <si>
    <t>KOSTENPLAATS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</si>
  <si>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</si>
  <si>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</si>
  <si>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</si>
  <si>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</si>
  <si>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</si>
  <si>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</si>
  <si>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/>
  </si>
  <si>
    <t>Totaal van alle objecten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</si>
  <si>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</si>
  <si>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</si>
  <si>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</si>
  <si>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</si>
  <si>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</si>
  <si>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</si>
  <si>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</si>
  <si>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</si>
  <si>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</si>
  <si>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</si>
  <si>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</si>
  <si>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</si>
  <si>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</si>
  <si>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</si>
  <si>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</si>
  <si>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</si>
  <si>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</si>
  <si>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</si>
  <si>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</si>
  <si>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</si>
  <si>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</si>
  <si>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</si>
  <si>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</si>
  <si>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</si>
  <si>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</si>
  <si>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</si>
  <si>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</si>
  <si>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</si>
  <si>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</si>
  <si>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</si>
  <si>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</si>
  <si>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</si>
  <si>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</si>
  <si>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</si>
  <si>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</si>
  <si>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</si>
  <si>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</si>
  <si>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</si>
  <si>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</si>
  <si>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</si>
  <si>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</si>
  <si>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</si>
  <si>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</si>
  <si>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</si>
  <si>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</si>
  <si>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</si>
  <si>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</si>
  <si>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</si>
  <si>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</si>
  <si>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</si>
  <si>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</si>
  <si>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</si>
  <si>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</si>
  <si>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</si>
  <si>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</si>
  <si>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</si>
  <si>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</si>
  <si>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</si>
  <si>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</si>
  <si>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</si>
  <si>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</si>
  <si>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</si>
  <si>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</si>
  <si>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</si>
  <si>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3020B</t>
  </si>
  <si>
    <t>3020C</t>
  </si>
  <si>
    <t>3020D</t>
  </si>
  <si>
    <t>3030</t>
  </si>
  <si>
    <t>Graffiti verwijderen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</si>
  <si>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</si>
  <si>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</si>
  <si>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</si>
  <si>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</si>
  <si>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</si>
  <si>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</si>
  <si>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</si>
  <si>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</si>
  <si>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</si>
  <si>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</si>
  <si>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</si>
  <si>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</si>
  <si>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</si>
  <si>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</si>
  <si>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</si>
  <si>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</si>
  <si>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</si>
  <si>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</si>
  <si>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</si>
  <si>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</si>
  <si>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</si>
  <si>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</si>
  <si>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</si>
  <si>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</si>
  <si>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</si>
  <si>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</si>
  <si>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</si>
  <si>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</si>
  <si>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</si>
  <si>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</si>
  <si>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</si>
  <si>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</si>
  <si>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</si>
  <si>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</si>
  <si>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</si>
  <si>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</si>
  <si>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</si>
  <si>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</si>
  <si>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</si>
  <si>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</si>
  <si>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</si>
  <si>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</si>
  <si>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</si>
  <si>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</si>
  <si>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</si>
  <si>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</si>
  <si>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</si>
  <si>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</si>
  <si>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</si>
  <si>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</si>
  <si>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Stoelbekleding (stof) reinigen</t>
  </si>
  <si>
    <t>4090B</t>
  </si>
  <si>
    <t>25 &lt; 50 stuks</t>
  </si>
  <si>
    <t>4090C</t>
  </si>
  <si>
    <t>50 &lt; 75 stuks</t>
  </si>
  <si>
    <t>4090D</t>
  </si>
  <si>
    <t>&gt;= 75 stuks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</si>
  <si>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</si>
  <si>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</si>
  <si>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</si>
  <si>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</si>
  <si>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</si>
  <si>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</si>
  <si>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1500</t>
  </si>
  <si>
    <t>Medewerker regiewerkzaamheden</t>
  </si>
  <si>
    <t>prijs per uur</t>
  </si>
  <si>
    <t>1600</t>
  </si>
  <si>
    <t>Medewerker specialistische werkzaamheden</t>
  </si>
  <si>
    <t>1700</t>
  </si>
  <si>
    <t>Medewerker graffiti verwijdering</t>
  </si>
  <si>
    <t>1800</t>
  </si>
  <si>
    <t>Check-out slaapkamer</t>
  </si>
  <si>
    <t>1801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</si>
  <si>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</si>
  <si>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</si>
  <si>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</si>
  <si>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</si>
  <si>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</si>
  <si>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</si>
  <si>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</si>
  <si>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8030</t>
  </si>
  <si>
    <t>Glasbetonblokken buitenzijde</t>
  </si>
  <si>
    <t>8040</t>
  </si>
  <si>
    <t>Glasbetonblokken binnenzijde</t>
  </si>
  <si>
    <t>8090</t>
  </si>
  <si>
    <t>Glas balustrade</t>
  </si>
  <si>
    <t>8150</t>
  </si>
  <si>
    <t>Gevelbeplating reinigen (trespa)</t>
  </si>
  <si>
    <t>8200</t>
  </si>
  <si>
    <t>Hoogwerker gebouw 200</t>
  </si>
  <si>
    <t>totaalprijs</t>
  </si>
  <si>
    <t>Totaal glas excl. BTW</t>
  </si>
  <si>
    <t>Soort werk</t>
  </si>
  <si>
    <t>Uren per jaar uitvoering</t>
  </si>
  <si>
    <t>Uren per jaar leiding</t>
  </si>
  <si>
    <t>Bedrag per jaar excl. BTW (euro)</t>
  </si>
  <si>
    <t>Bedrag per jaar incl. BTW (euro)</t>
  </si>
  <si>
    <t>Regulier werk</t>
  </si>
  <si>
    <t>Regie (geschat)</t>
  </si>
  <si>
    <t>Glas</t>
  </si>
  <si>
    <t>Totaal generaal</t>
  </si>
  <si>
    <t>Percentage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</si>
</sst>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0" fontId="0" fillId="3" borderId="12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0" xfId="0" applyFill="1" applyBorder="1" applyAlignment="1"/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95F8-37A9-43DC-B8D7-BFCEF4B58B06}">
  <dimension ref="A1:B32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32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1</v>
      </c>
    </row>
    <row r="15" spans="1:2" x14ac:dyDescent="0.2">
      <c r="A15" s="2" t="s">
        <v>11</v>
      </c>
      <c r="B15" s="3">
        <f t="shared" si="0"/>
        <v>0.92156862745098034</v>
      </c>
    </row>
    <row r="16" spans="1:2" x14ac:dyDescent="0.2">
      <c r="A16" s="2" t="s">
        <v>12</v>
      </c>
      <c r="B16" s="3">
        <f t="shared" si="0"/>
        <v>0.8</v>
      </c>
    </row>
    <row r="17" spans="1:2" x14ac:dyDescent="0.2">
      <c r="A17" s="2" t="s">
        <v>13</v>
      </c>
      <c r="B17" s="3">
        <f t="shared" si="0"/>
        <v>0.6</v>
      </c>
    </row>
    <row r="18" spans="1:2" x14ac:dyDescent="0.2">
      <c r="A18" s="2" t="s">
        <v>14</v>
      </c>
      <c r="B18" s="3">
        <f t="shared" si="0"/>
        <v>0.6</v>
      </c>
    </row>
    <row r="19" spans="1:2" x14ac:dyDescent="0.2">
      <c r="A19" s="2" t="s">
        <v>15</v>
      </c>
      <c r="B19" s="3">
        <f t="shared" si="0"/>
        <v>0.55294117647058827</v>
      </c>
    </row>
    <row r="20" spans="1:2" x14ac:dyDescent="0.2">
      <c r="A20" s="2" t="s">
        <v>16</v>
      </c>
      <c r="B20" s="3">
        <f t="shared" si="0"/>
        <v>0.4</v>
      </c>
    </row>
    <row r="21" spans="1:2" x14ac:dyDescent="0.2">
      <c r="A21" s="2" t="s">
        <v>17</v>
      </c>
      <c r="B21" s="3">
        <f t="shared" si="0"/>
        <v>0.36862745098039218</v>
      </c>
    </row>
    <row r="22" spans="1:2" x14ac:dyDescent="0.2">
      <c r="A22" s="2" t="s">
        <v>18</v>
      </c>
      <c r="B22" s="3">
        <f t="shared" si="0"/>
        <v>0.2</v>
      </c>
    </row>
    <row r="23" spans="1:2" x14ac:dyDescent="0.2">
      <c r="A23" s="2" t="s">
        <v>19</v>
      </c>
      <c r="B23" s="3">
        <f t="shared" si="0"/>
        <v>0.2</v>
      </c>
    </row>
    <row r="24" spans="1:2" x14ac:dyDescent="0.2">
      <c r="A24" s="2" t="s">
        <v>20</v>
      </c>
      <c r="B24" s="3">
        <f t="shared" si="0"/>
        <v>0.18431372549019609</v>
      </c>
    </row>
    <row r="25" spans="1:2" x14ac:dyDescent="0.2">
      <c r="A25" s="2" t="s">
        <v>21</v>
      </c>
      <c r="B25" s="3">
        <f t="shared" si="0"/>
        <v>0.10196078431372549</v>
      </c>
    </row>
    <row r="26" spans="1:2" x14ac:dyDescent="0.2">
      <c r="A26" s="2" t="s">
        <v>22</v>
      </c>
      <c r="B26" s="3">
        <f t="shared" si="0"/>
        <v>4.7058823529411764E-2</v>
      </c>
    </row>
    <row r="27" spans="1:2" x14ac:dyDescent="0.2">
      <c r="A27" s="2" t="s">
        <v>23</v>
      </c>
      <c r="B27" s="3">
        <f t="shared" si="0"/>
        <v>3.5294117647058823E-2</v>
      </c>
    </row>
    <row r="28" spans="1:2" x14ac:dyDescent="0.2">
      <c r="A28" s="2" t="s">
        <v>24</v>
      </c>
      <c r="B28" s="3">
        <f t="shared" si="0"/>
        <v>2.3529411764705882E-2</v>
      </c>
    </row>
    <row r="29" spans="1:2" x14ac:dyDescent="0.2">
      <c r="A29" s="2" t="s">
        <v>25</v>
      </c>
      <c r="B29" s="3">
        <f t="shared" si="0"/>
        <v>1.5686274509803921E-2</v>
      </c>
    </row>
    <row r="30" spans="1:2" x14ac:dyDescent="0.2">
      <c r="A30" s="2" t="s">
        <v>26</v>
      </c>
      <c r="B30" s="3">
        <f t="shared" si="0"/>
        <v>1.1764705882352941E-2</v>
      </c>
    </row>
    <row r="31" spans="1:2" x14ac:dyDescent="0.2">
      <c r="A31" s="2" t="s">
        <v>27</v>
      </c>
      <c r="B31" s="3">
        <f t="shared" si="0"/>
        <v>7.8431372549019607E-3</v>
      </c>
    </row>
    <row r="32" spans="1:2" x14ac:dyDescent="0.2">
      <c r="A32" s="6" t="s">
        <v>28</v>
      </c>
      <c r="B32" s="7">
        <f t="shared" si="0"/>
        <v>3.9215686274509803E-3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DC061-396B-4E26-ADB9-755E1362717E}">
  <dimension ref="A1:L16"/>
  <sheetViews>
    <sheetView workbookViewId="0">
      <selection activeCell="B1" sqref="B1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I.8: ",tabeltype," glas")</f>
        <v>Bijlage I.8: Invultabel glas</v>
      </c>
    </row>
    <row r="3" spans="1:12" ht="38.25" x14ac:dyDescent="0.2">
      <c r="A3" s="8" t="s">
        <v>252</v>
      </c>
      <c r="B3" s="8" t="s">
        <v>7</v>
      </c>
      <c r="C3" s="8" t="s">
        <v>379</v>
      </c>
      <c r="D3" s="8" t="s">
        <v>32</v>
      </c>
      <c r="E3" s="8" t="s">
        <v>35</v>
      </c>
      <c r="F3" s="8" t="s">
        <v>380</v>
      </c>
      <c r="G3" s="8" t="s">
        <v>381</v>
      </c>
      <c r="H3" s="8" t="s">
        <v>382</v>
      </c>
      <c r="I3" s="8" t="s">
        <v>254</v>
      </c>
      <c r="J3" s="8" t="s">
        <v>383</v>
      </c>
      <c r="K3" s="8" t="s">
        <v>112</v>
      </c>
      <c r="L3" s="8" t="s">
        <v>191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395</v>
      </c>
      <c r="B6" s="15" t="s">
        <v>26</v>
      </c>
      <c r="C6" s="16">
        <f t="shared" ref="C6:C13" si="0">IF(ISBLANK(B6),0,IF(ISERROR(VALUE(B6)),VLOOKUP(B6,dagsoorttabel1,2,FALSE)*dagenperjaar1,VALUE(B6)))</f>
        <v>3</v>
      </c>
      <c r="D6" s="15" t="s">
        <v>396</v>
      </c>
      <c r="E6" s="15" t="s">
        <v>282</v>
      </c>
      <c r="F6" s="74">
        <v>3025.24</v>
      </c>
      <c r="G6" s="19"/>
      <c r="H6" s="75"/>
      <c r="I6" s="19"/>
      <c r="J6" s="32">
        <f t="shared" ref="J6:J12" si="1">IF(ISBLANK(F6),0,F6)*I6</f>
        <v>0</v>
      </c>
      <c r="K6" s="32">
        <f t="shared" ref="K6:K13" si="2">C6*J6</f>
        <v>0</v>
      </c>
      <c r="L6" s="32">
        <f t="shared" ref="L6:L14" si="3">K6/12</f>
        <v>0</v>
      </c>
    </row>
    <row r="7" spans="1:12" x14ac:dyDescent="0.2">
      <c r="A7" s="20" t="s">
        <v>397</v>
      </c>
      <c r="B7" s="20" t="s">
        <v>26</v>
      </c>
      <c r="C7" s="21">
        <f t="shared" si="0"/>
        <v>3</v>
      </c>
      <c r="D7" s="20" t="s">
        <v>398</v>
      </c>
      <c r="E7" s="20" t="s">
        <v>282</v>
      </c>
      <c r="F7" s="76">
        <v>3025.24</v>
      </c>
      <c r="G7" s="24"/>
      <c r="H7" s="77"/>
      <c r="I7" s="24"/>
      <c r="J7" s="35">
        <f t="shared" si="1"/>
        <v>0</v>
      </c>
      <c r="K7" s="35">
        <f t="shared" si="2"/>
        <v>0</v>
      </c>
      <c r="L7" s="35">
        <f t="shared" si="3"/>
        <v>0</v>
      </c>
    </row>
    <row r="8" spans="1:12" x14ac:dyDescent="0.2">
      <c r="A8" s="20" t="s">
        <v>399</v>
      </c>
      <c r="B8" s="20" t="s">
        <v>26</v>
      </c>
      <c r="C8" s="21">
        <f t="shared" si="0"/>
        <v>3</v>
      </c>
      <c r="D8" s="20" t="s">
        <v>400</v>
      </c>
      <c r="E8" s="20" t="s">
        <v>282</v>
      </c>
      <c r="F8" s="76">
        <v>2110</v>
      </c>
      <c r="G8" s="24"/>
      <c r="H8" s="77"/>
      <c r="I8" s="24"/>
      <c r="J8" s="35">
        <f t="shared" si="1"/>
        <v>0</v>
      </c>
      <c r="K8" s="35">
        <f t="shared" si="2"/>
        <v>0</v>
      </c>
      <c r="L8" s="35">
        <f t="shared" si="3"/>
        <v>0</v>
      </c>
    </row>
    <row r="9" spans="1:12" x14ac:dyDescent="0.2">
      <c r="A9" s="20" t="s">
        <v>401</v>
      </c>
      <c r="B9" s="20" t="s">
        <v>26</v>
      </c>
      <c r="C9" s="21">
        <f t="shared" si="0"/>
        <v>3</v>
      </c>
      <c r="D9" s="20" t="s">
        <v>402</v>
      </c>
      <c r="E9" s="20" t="s">
        <v>282</v>
      </c>
      <c r="F9" s="76">
        <v>60</v>
      </c>
      <c r="G9" s="24"/>
      <c r="H9" s="77"/>
      <c r="I9" s="24"/>
      <c r="J9" s="35">
        <f t="shared" si="1"/>
        <v>0</v>
      </c>
      <c r="K9" s="35">
        <f t="shared" si="2"/>
        <v>0</v>
      </c>
      <c r="L9" s="35">
        <f t="shared" si="3"/>
        <v>0</v>
      </c>
    </row>
    <row r="10" spans="1:12" x14ac:dyDescent="0.2">
      <c r="A10" s="20" t="s">
        <v>403</v>
      </c>
      <c r="B10" s="20" t="s">
        <v>26</v>
      </c>
      <c r="C10" s="21">
        <f t="shared" si="0"/>
        <v>3</v>
      </c>
      <c r="D10" s="20" t="s">
        <v>404</v>
      </c>
      <c r="E10" s="20" t="s">
        <v>282</v>
      </c>
      <c r="F10" s="76">
        <v>60</v>
      </c>
      <c r="G10" s="24"/>
      <c r="H10" s="77"/>
      <c r="I10" s="24"/>
      <c r="J10" s="35">
        <f t="shared" si="1"/>
        <v>0</v>
      </c>
      <c r="K10" s="35">
        <f t="shared" si="2"/>
        <v>0</v>
      </c>
      <c r="L10" s="35">
        <f t="shared" si="3"/>
        <v>0</v>
      </c>
    </row>
    <row r="11" spans="1:12" x14ac:dyDescent="0.2">
      <c r="A11" s="20" t="s">
        <v>405</v>
      </c>
      <c r="B11" s="20" t="s">
        <v>26</v>
      </c>
      <c r="C11" s="21">
        <f t="shared" si="0"/>
        <v>3</v>
      </c>
      <c r="D11" s="20" t="s">
        <v>406</v>
      </c>
      <c r="E11" s="20" t="s">
        <v>282</v>
      </c>
      <c r="F11" s="76">
        <v>30</v>
      </c>
      <c r="G11" s="24"/>
      <c r="H11" s="77"/>
      <c r="I11" s="24"/>
      <c r="J11" s="35">
        <f t="shared" si="1"/>
        <v>0</v>
      </c>
      <c r="K11" s="35">
        <f t="shared" si="2"/>
        <v>0</v>
      </c>
      <c r="L11" s="35">
        <f t="shared" si="3"/>
        <v>0</v>
      </c>
    </row>
    <row r="12" spans="1:12" x14ac:dyDescent="0.2">
      <c r="A12" s="20" t="s">
        <v>407</v>
      </c>
      <c r="B12" s="20" t="s">
        <v>28</v>
      </c>
      <c r="C12" s="21">
        <f t="shared" si="0"/>
        <v>1</v>
      </c>
      <c r="D12" s="20" t="s">
        <v>408</v>
      </c>
      <c r="E12" s="20" t="s">
        <v>282</v>
      </c>
      <c r="F12" s="76">
        <v>1024</v>
      </c>
      <c r="G12" s="24"/>
      <c r="H12" s="77"/>
      <c r="I12" s="24"/>
      <c r="J12" s="35">
        <f t="shared" si="1"/>
        <v>0</v>
      </c>
      <c r="K12" s="35">
        <f t="shared" si="2"/>
        <v>0</v>
      </c>
      <c r="L12" s="35">
        <f t="shared" si="3"/>
        <v>0</v>
      </c>
    </row>
    <row r="13" spans="1:12" x14ac:dyDescent="0.2">
      <c r="A13" s="25" t="s">
        <v>409</v>
      </c>
      <c r="B13" s="25" t="s">
        <v>26</v>
      </c>
      <c r="C13" s="26">
        <f t="shared" si="0"/>
        <v>3</v>
      </c>
      <c r="D13" s="25" t="s">
        <v>410</v>
      </c>
      <c r="E13" s="25" t="s">
        <v>411</v>
      </c>
      <c r="F13" s="78">
        <v>1</v>
      </c>
      <c r="G13" s="29"/>
      <c r="H13" s="79"/>
      <c r="I13" s="29"/>
      <c r="J13" s="39">
        <f>IF(ISBLANK(F13),1,F13)*I13</f>
        <v>0</v>
      </c>
      <c r="K13" s="39">
        <f t="shared" si="2"/>
        <v>0</v>
      </c>
      <c r="L13" s="39">
        <f t="shared" si="3"/>
        <v>0</v>
      </c>
    </row>
    <row r="14" spans="1:12" x14ac:dyDescent="0.2">
      <c r="A14" s="40" t="s">
        <v>160</v>
      </c>
      <c r="B14" s="41"/>
      <c r="C14" s="41"/>
      <c r="D14" s="41"/>
      <c r="E14" s="41"/>
      <c r="F14" s="41"/>
      <c r="G14" s="41"/>
      <c r="H14" s="41"/>
      <c r="I14" s="41"/>
      <c r="J14" s="41"/>
      <c r="K14" s="43">
        <f>SUM(K6:K13)</f>
        <v>0</v>
      </c>
      <c r="L14" s="80">
        <f t="shared" si="3"/>
        <v>0</v>
      </c>
    </row>
    <row r="16" spans="1:12" x14ac:dyDescent="0.2">
      <c r="A16" s="40" t="s">
        <v>412</v>
      </c>
      <c r="B16" s="41"/>
      <c r="C16" s="41"/>
      <c r="D16" s="41"/>
      <c r="E16" s="41"/>
      <c r="F16" s="41"/>
      <c r="G16" s="41"/>
      <c r="H16" s="41"/>
      <c r="I16" s="41"/>
      <c r="J16" s="41"/>
      <c r="K16" s="43">
        <f>prijsjaarglas1</f>
        <v>0</v>
      </c>
      <c r="L16" s="80">
        <f>K16/12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SOMA College EA 2022                              &amp;ROpmaakdatum: 20-12-2021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99CD-A2C0-4AD3-AAAD-3FA6C8D66004}">
  <dimension ref="A1:M5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I.9: ",tabeltype," glas per locatie")</f>
        <v>Bijlage I.9: Invultabel glas per locatie</v>
      </c>
    </row>
    <row r="3" spans="1:13" ht="38.25" x14ac:dyDescent="0.2">
      <c r="A3" s="8" t="s">
        <v>252</v>
      </c>
      <c r="B3" s="8" t="s">
        <v>7</v>
      </c>
      <c r="C3" s="8" t="s">
        <v>379</v>
      </c>
      <c r="D3" s="8" t="s">
        <v>164</v>
      </c>
      <c r="E3" s="8" t="s">
        <v>32</v>
      </c>
      <c r="F3" s="8" t="s">
        <v>35</v>
      </c>
      <c r="G3" s="8" t="s">
        <v>380</v>
      </c>
      <c r="H3" s="8" t="s">
        <v>381</v>
      </c>
      <c r="I3" s="8" t="s">
        <v>382</v>
      </c>
      <c r="J3" s="8" t="s">
        <v>254</v>
      </c>
      <c r="K3" s="8" t="s">
        <v>383</v>
      </c>
      <c r="L3" s="8" t="s">
        <v>112</v>
      </c>
      <c r="M3" s="8" t="s">
        <v>191</v>
      </c>
    </row>
    <row r="5" spans="1:13" x14ac:dyDescent="0.2">
      <c r="A5" s="81" t="s">
        <v>221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73"/>
    </row>
    <row r="6" spans="1:13" x14ac:dyDescent="0.2">
      <c r="A6" s="15" t="s">
        <v>395</v>
      </c>
      <c r="B6" s="15" t="s">
        <v>26</v>
      </c>
      <c r="C6" s="16">
        <f>IF(ISBLANK(B6),0,IF(ISERROR(VALUE(B6)),VLOOKUP(B6,dagsoorttabel1,2,FALSE)*dagenperjaar1,VALUE(B6)))</f>
        <v>3</v>
      </c>
      <c r="D6" s="15" t="s">
        <v>178</v>
      </c>
      <c r="E6" s="15" t="s">
        <v>396</v>
      </c>
      <c r="F6" s="15" t="s">
        <v>282</v>
      </c>
      <c r="G6" s="74">
        <v>594</v>
      </c>
      <c r="H6" s="82">
        <f>Glas!G6</f>
        <v>0</v>
      </c>
      <c r="I6" s="75"/>
      <c r="J6" s="82">
        <f>Glas!I6</f>
        <v>0</v>
      </c>
      <c r="K6" s="32">
        <f>IF(ISBLANK(G6),0,G6)*J6</f>
        <v>0</v>
      </c>
      <c r="L6" s="32">
        <f>C6*K6</f>
        <v>0</v>
      </c>
      <c r="M6" s="32">
        <f>L6/12</f>
        <v>0</v>
      </c>
    </row>
    <row r="7" spans="1:13" x14ac:dyDescent="0.2">
      <c r="A7" s="20" t="s">
        <v>397</v>
      </c>
      <c r="B7" s="20" t="s">
        <v>26</v>
      </c>
      <c r="C7" s="21">
        <f>IF(ISBLANK(B7),0,IF(ISERROR(VALUE(B7)),VLOOKUP(B7,dagsoorttabel1,2,FALSE)*dagenperjaar1,VALUE(B7)))</f>
        <v>3</v>
      </c>
      <c r="D7" s="20" t="s">
        <v>178</v>
      </c>
      <c r="E7" s="20" t="s">
        <v>398</v>
      </c>
      <c r="F7" s="20" t="s">
        <v>282</v>
      </c>
      <c r="G7" s="76">
        <v>594</v>
      </c>
      <c r="H7" s="83">
        <f>Glas!G7</f>
        <v>0</v>
      </c>
      <c r="I7" s="77"/>
      <c r="J7" s="83">
        <f>Glas!I7</f>
        <v>0</v>
      </c>
      <c r="K7" s="35">
        <f>IF(ISBLANK(G7),0,G7)*J7</f>
        <v>0</v>
      </c>
      <c r="L7" s="35">
        <f>C7*K7</f>
        <v>0</v>
      </c>
      <c r="M7" s="35">
        <f>L7/12</f>
        <v>0</v>
      </c>
    </row>
    <row r="8" spans="1:13" x14ac:dyDescent="0.2">
      <c r="A8" s="25" t="s">
        <v>399</v>
      </c>
      <c r="B8" s="25" t="s">
        <v>26</v>
      </c>
      <c r="C8" s="26">
        <f>IF(ISBLANK(B8),0,IF(ISERROR(VALUE(B8)),VLOOKUP(B8,dagsoorttabel1,2,FALSE)*dagenperjaar1,VALUE(B8)))</f>
        <v>3</v>
      </c>
      <c r="D8" s="25" t="s">
        <v>178</v>
      </c>
      <c r="E8" s="25" t="s">
        <v>400</v>
      </c>
      <c r="F8" s="25" t="s">
        <v>282</v>
      </c>
      <c r="G8" s="78">
        <v>748</v>
      </c>
      <c r="H8" s="84">
        <f>Glas!G8</f>
        <v>0</v>
      </c>
      <c r="I8" s="79"/>
      <c r="J8" s="84">
        <f>Glas!I8</f>
        <v>0</v>
      </c>
      <c r="K8" s="39">
        <f>IF(ISBLANK(G8),0,G8)*J8</f>
        <v>0</v>
      </c>
      <c r="L8" s="39">
        <f>C8*K8</f>
        <v>0</v>
      </c>
      <c r="M8" s="39">
        <f>L8/12</f>
        <v>0</v>
      </c>
    </row>
    <row r="9" spans="1:13" x14ac:dyDescent="0.2">
      <c r="A9" s="72" t="s">
        <v>226</v>
      </c>
      <c r="B9" s="41"/>
      <c r="C9" s="41"/>
      <c r="D9" s="41"/>
      <c r="E9" s="41"/>
      <c r="F9" s="41"/>
      <c r="G9" s="41"/>
      <c r="H9" s="41"/>
      <c r="I9" s="41"/>
      <c r="J9" s="41"/>
      <c r="K9" s="43">
        <f>SUM(K6:K8)</f>
        <v>0</v>
      </c>
      <c r="L9" s="43">
        <f>SUM(L6:L8)</f>
        <v>0</v>
      </c>
      <c r="M9" s="80">
        <f>L9/12</f>
        <v>0</v>
      </c>
    </row>
    <row r="11" spans="1:13" x14ac:dyDescent="0.2">
      <c r="A11" s="81" t="s">
        <v>227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73"/>
    </row>
    <row r="12" spans="1:13" x14ac:dyDescent="0.2">
      <c r="A12" s="15" t="s">
        <v>395</v>
      </c>
      <c r="B12" s="15" t="s">
        <v>26</v>
      </c>
      <c r="C12" s="16">
        <f>IF(ISBLANK(B12),0,IF(ISERROR(VALUE(B12)),VLOOKUP(B12,dagsoorttabel1,2,FALSE)*dagenperjaar1,VALUE(B12)))</f>
        <v>3</v>
      </c>
      <c r="D12" s="15" t="s">
        <v>178</v>
      </c>
      <c r="E12" s="15" t="s">
        <v>396</v>
      </c>
      <c r="F12" s="15" t="s">
        <v>282</v>
      </c>
      <c r="G12" s="74">
        <v>768</v>
      </c>
      <c r="H12" s="82">
        <f>Glas!G6</f>
        <v>0</v>
      </c>
      <c r="I12" s="75"/>
      <c r="J12" s="82">
        <f>Glas!I6</f>
        <v>0</v>
      </c>
      <c r="K12" s="32">
        <f>IF(ISBLANK(G12),0,G12)*J12</f>
        <v>0</v>
      </c>
      <c r="L12" s="32">
        <f>C12*K12</f>
        <v>0</v>
      </c>
      <c r="M12" s="32">
        <f>L12/12</f>
        <v>0</v>
      </c>
    </row>
    <row r="13" spans="1:13" x14ac:dyDescent="0.2">
      <c r="A13" s="20" t="s">
        <v>397</v>
      </c>
      <c r="B13" s="20" t="s">
        <v>26</v>
      </c>
      <c r="C13" s="21">
        <f>IF(ISBLANK(B13),0,IF(ISERROR(VALUE(B13)),VLOOKUP(B13,dagsoorttabel1,2,FALSE)*dagenperjaar1,VALUE(B13)))</f>
        <v>3</v>
      </c>
      <c r="D13" s="20" t="s">
        <v>178</v>
      </c>
      <c r="E13" s="20" t="s">
        <v>398</v>
      </c>
      <c r="F13" s="20" t="s">
        <v>282</v>
      </c>
      <c r="G13" s="76">
        <v>768</v>
      </c>
      <c r="H13" s="83">
        <f>Glas!G7</f>
        <v>0</v>
      </c>
      <c r="I13" s="77"/>
      <c r="J13" s="83">
        <f>Glas!I7</f>
        <v>0</v>
      </c>
      <c r="K13" s="35">
        <f>IF(ISBLANK(G13),0,G13)*J13</f>
        <v>0</v>
      </c>
      <c r="L13" s="35">
        <f>C13*K13</f>
        <v>0</v>
      </c>
      <c r="M13" s="35">
        <f>L13/12</f>
        <v>0</v>
      </c>
    </row>
    <row r="14" spans="1:13" x14ac:dyDescent="0.2">
      <c r="A14" s="20" t="s">
        <v>399</v>
      </c>
      <c r="B14" s="20" t="s">
        <v>26</v>
      </c>
      <c r="C14" s="21">
        <f>IF(ISBLANK(B14),0,IF(ISERROR(VALUE(B14)),VLOOKUP(B14,dagsoorttabel1,2,FALSE)*dagenperjaar1,VALUE(B14)))</f>
        <v>3</v>
      </c>
      <c r="D14" s="20" t="s">
        <v>178</v>
      </c>
      <c r="E14" s="20" t="s">
        <v>400</v>
      </c>
      <c r="F14" s="20" t="s">
        <v>282</v>
      </c>
      <c r="G14" s="76">
        <v>152</v>
      </c>
      <c r="H14" s="83">
        <f>Glas!G8</f>
        <v>0</v>
      </c>
      <c r="I14" s="77"/>
      <c r="J14" s="83">
        <f>Glas!I8</f>
        <v>0</v>
      </c>
      <c r="K14" s="35">
        <f>IF(ISBLANK(G14),0,G14)*J14</f>
        <v>0</v>
      </c>
      <c r="L14" s="35">
        <f>C14*K14</f>
        <v>0</v>
      </c>
      <c r="M14" s="35">
        <f>L14/12</f>
        <v>0</v>
      </c>
    </row>
    <row r="15" spans="1:13" x14ac:dyDescent="0.2">
      <c r="A15" s="25" t="s">
        <v>407</v>
      </c>
      <c r="B15" s="25" t="s">
        <v>28</v>
      </c>
      <c r="C15" s="26">
        <f>IF(ISBLANK(B15),0,IF(ISERROR(VALUE(B15)),VLOOKUP(B15,dagsoorttabel1,2,FALSE)*dagenperjaar1,VALUE(B15)))</f>
        <v>1</v>
      </c>
      <c r="D15" s="25" t="s">
        <v>178</v>
      </c>
      <c r="E15" s="25" t="s">
        <v>408</v>
      </c>
      <c r="F15" s="25" t="s">
        <v>282</v>
      </c>
      <c r="G15" s="78">
        <v>512</v>
      </c>
      <c r="H15" s="84">
        <f>Glas!G12</f>
        <v>0</v>
      </c>
      <c r="I15" s="79"/>
      <c r="J15" s="84">
        <f>Glas!I12</f>
        <v>0</v>
      </c>
      <c r="K15" s="39">
        <f>IF(ISBLANK(G15),0,G15)*J15</f>
        <v>0</v>
      </c>
      <c r="L15" s="39">
        <f>C15*K15</f>
        <v>0</v>
      </c>
      <c r="M15" s="39">
        <f>L15/12</f>
        <v>0</v>
      </c>
    </row>
    <row r="16" spans="1:13" x14ac:dyDescent="0.2">
      <c r="A16" s="72" t="s">
        <v>228</v>
      </c>
      <c r="B16" s="41"/>
      <c r="C16" s="41"/>
      <c r="D16" s="41"/>
      <c r="E16" s="41"/>
      <c r="F16" s="41"/>
      <c r="G16" s="41"/>
      <c r="H16" s="41"/>
      <c r="I16" s="41"/>
      <c r="J16" s="41"/>
      <c r="K16" s="43">
        <f>SUM(K12:K15)</f>
        <v>0</v>
      </c>
      <c r="L16" s="43">
        <f>SUM(L12:L15)</f>
        <v>0</v>
      </c>
      <c r="M16" s="80">
        <f>L16/12</f>
        <v>0</v>
      </c>
    </row>
    <row r="18" spans="1:13" x14ac:dyDescent="0.2">
      <c r="A18" s="81" t="s">
        <v>229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73"/>
    </row>
    <row r="19" spans="1:13" x14ac:dyDescent="0.2">
      <c r="A19" s="15" t="s">
        <v>395</v>
      </c>
      <c r="B19" s="15" t="s">
        <v>26</v>
      </c>
      <c r="C19" s="16">
        <f>IF(ISBLANK(B19),0,IF(ISERROR(VALUE(B19)),VLOOKUP(B19,dagsoorttabel1,2,FALSE)*dagenperjaar1,VALUE(B19)))</f>
        <v>3</v>
      </c>
      <c r="D19" s="15" t="s">
        <v>178</v>
      </c>
      <c r="E19" s="15" t="s">
        <v>396</v>
      </c>
      <c r="F19" s="15" t="s">
        <v>282</v>
      </c>
      <c r="G19" s="74">
        <v>768</v>
      </c>
      <c r="H19" s="82">
        <f>Glas!G6</f>
        <v>0</v>
      </c>
      <c r="I19" s="75"/>
      <c r="J19" s="82">
        <f>Glas!I6</f>
        <v>0</v>
      </c>
      <c r="K19" s="32">
        <f>IF(ISBLANK(G19),0,G19)*J19</f>
        <v>0</v>
      </c>
      <c r="L19" s="32">
        <f>C19*K19</f>
        <v>0</v>
      </c>
      <c r="M19" s="32">
        <f>L19/12</f>
        <v>0</v>
      </c>
    </row>
    <row r="20" spans="1:13" x14ac:dyDescent="0.2">
      <c r="A20" s="20" t="s">
        <v>397</v>
      </c>
      <c r="B20" s="20" t="s">
        <v>26</v>
      </c>
      <c r="C20" s="21">
        <f>IF(ISBLANK(B20),0,IF(ISERROR(VALUE(B20)),VLOOKUP(B20,dagsoorttabel1,2,FALSE)*dagenperjaar1,VALUE(B20)))</f>
        <v>3</v>
      </c>
      <c r="D20" s="20" t="s">
        <v>178</v>
      </c>
      <c r="E20" s="20" t="s">
        <v>398</v>
      </c>
      <c r="F20" s="20" t="s">
        <v>282</v>
      </c>
      <c r="G20" s="76">
        <v>768</v>
      </c>
      <c r="H20" s="83">
        <f>Glas!G7</f>
        <v>0</v>
      </c>
      <c r="I20" s="77"/>
      <c r="J20" s="83">
        <f>Glas!I7</f>
        <v>0</v>
      </c>
      <c r="K20" s="35">
        <f>IF(ISBLANK(G20),0,G20)*J20</f>
        <v>0</v>
      </c>
      <c r="L20" s="35">
        <f>C20*K20</f>
        <v>0</v>
      </c>
      <c r="M20" s="35">
        <f>L20/12</f>
        <v>0</v>
      </c>
    </row>
    <row r="21" spans="1:13" x14ac:dyDescent="0.2">
      <c r="A21" s="20" t="s">
        <v>399</v>
      </c>
      <c r="B21" s="20" t="s">
        <v>26</v>
      </c>
      <c r="C21" s="21">
        <f>IF(ISBLANK(B21),0,IF(ISERROR(VALUE(B21)),VLOOKUP(B21,dagsoorttabel1,2,FALSE)*dagenperjaar1,VALUE(B21)))</f>
        <v>3</v>
      </c>
      <c r="D21" s="20" t="s">
        <v>178</v>
      </c>
      <c r="E21" s="20" t="s">
        <v>400</v>
      </c>
      <c r="F21" s="20" t="s">
        <v>282</v>
      </c>
      <c r="G21" s="76">
        <v>152</v>
      </c>
      <c r="H21" s="83">
        <f>Glas!G8</f>
        <v>0</v>
      </c>
      <c r="I21" s="77"/>
      <c r="J21" s="83">
        <f>Glas!I8</f>
        <v>0</v>
      </c>
      <c r="K21" s="35">
        <f>IF(ISBLANK(G21),0,G21)*J21</f>
        <v>0</v>
      </c>
      <c r="L21" s="35">
        <f>C21*K21</f>
        <v>0</v>
      </c>
      <c r="M21" s="35">
        <f>L21/12</f>
        <v>0</v>
      </c>
    </row>
    <row r="22" spans="1:13" x14ac:dyDescent="0.2">
      <c r="A22" s="25" t="s">
        <v>407</v>
      </c>
      <c r="B22" s="25" t="s">
        <v>28</v>
      </c>
      <c r="C22" s="26">
        <f>IF(ISBLANK(B22),0,IF(ISERROR(VALUE(B22)),VLOOKUP(B22,dagsoorttabel1,2,FALSE)*dagenperjaar1,VALUE(B22)))</f>
        <v>1</v>
      </c>
      <c r="D22" s="25" t="s">
        <v>178</v>
      </c>
      <c r="E22" s="25" t="s">
        <v>408</v>
      </c>
      <c r="F22" s="25" t="s">
        <v>282</v>
      </c>
      <c r="G22" s="78">
        <v>512</v>
      </c>
      <c r="H22" s="84">
        <f>Glas!G12</f>
        <v>0</v>
      </c>
      <c r="I22" s="79"/>
      <c r="J22" s="84">
        <f>Glas!I12</f>
        <v>0</v>
      </c>
      <c r="K22" s="39">
        <f>IF(ISBLANK(G22),0,G22)*J22</f>
        <v>0</v>
      </c>
      <c r="L22" s="39">
        <f>C22*K22</f>
        <v>0</v>
      </c>
      <c r="M22" s="39">
        <f>L22/12</f>
        <v>0</v>
      </c>
    </row>
    <row r="23" spans="1:13" x14ac:dyDescent="0.2">
      <c r="A23" s="72" t="s">
        <v>230</v>
      </c>
      <c r="B23" s="41"/>
      <c r="C23" s="41"/>
      <c r="D23" s="41"/>
      <c r="E23" s="41"/>
      <c r="F23" s="41"/>
      <c r="G23" s="41"/>
      <c r="H23" s="41"/>
      <c r="I23" s="41"/>
      <c r="J23" s="41"/>
      <c r="K23" s="43">
        <f>SUM(K19:K22)</f>
        <v>0</v>
      </c>
      <c r="L23" s="43">
        <f>SUM(L19:L22)</f>
        <v>0</v>
      </c>
      <c r="M23" s="80">
        <f>L23/12</f>
        <v>0</v>
      </c>
    </row>
    <row r="25" spans="1:13" x14ac:dyDescent="0.2">
      <c r="A25" s="81" t="s">
        <v>231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73"/>
    </row>
    <row r="26" spans="1:13" x14ac:dyDescent="0.2">
      <c r="A26" s="15" t="s">
        <v>395</v>
      </c>
      <c r="B26" s="15" t="s">
        <v>26</v>
      </c>
      <c r="C26" s="16">
        <f>IF(ISBLANK(B26),0,IF(ISERROR(VALUE(B26)),VLOOKUP(B26,dagsoorttabel1,2,FALSE)*dagenperjaar1,VALUE(B26)))</f>
        <v>3</v>
      </c>
      <c r="D26" s="15" t="s">
        <v>178</v>
      </c>
      <c r="E26" s="15" t="s">
        <v>396</v>
      </c>
      <c r="F26" s="15" t="s">
        <v>282</v>
      </c>
      <c r="G26" s="74">
        <v>45</v>
      </c>
      <c r="H26" s="82">
        <f>Glas!G6</f>
        <v>0</v>
      </c>
      <c r="I26" s="75"/>
      <c r="J26" s="82">
        <f>Glas!I6</f>
        <v>0</v>
      </c>
      <c r="K26" s="32">
        <f>IF(ISBLANK(G26),0,G26)*J26</f>
        <v>0</v>
      </c>
      <c r="L26" s="32">
        <f>C26*K26</f>
        <v>0</v>
      </c>
      <c r="M26" s="32">
        <f>L26/12</f>
        <v>0</v>
      </c>
    </row>
    <row r="27" spans="1:13" x14ac:dyDescent="0.2">
      <c r="A27" s="20" t="s">
        <v>397</v>
      </c>
      <c r="B27" s="20" t="s">
        <v>26</v>
      </c>
      <c r="C27" s="21">
        <f>IF(ISBLANK(B27),0,IF(ISERROR(VALUE(B27)),VLOOKUP(B27,dagsoorttabel1,2,FALSE)*dagenperjaar1,VALUE(B27)))</f>
        <v>3</v>
      </c>
      <c r="D27" s="20" t="s">
        <v>178</v>
      </c>
      <c r="E27" s="20" t="s">
        <v>398</v>
      </c>
      <c r="F27" s="20" t="s">
        <v>282</v>
      </c>
      <c r="G27" s="76">
        <v>45</v>
      </c>
      <c r="H27" s="83">
        <f>Glas!G7</f>
        <v>0</v>
      </c>
      <c r="I27" s="77"/>
      <c r="J27" s="83">
        <f>Glas!I7</f>
        <v>0</v>
      </c>
      <c r="K27" s="35">
        <f>IF(ISBLANK(G27),0,G27)*J27</f>
        <v>0</v>
      </c>
      <c r="L27" s="35">
        <f>C27*K27</f>
        <v>0</v>
      </c>
      <c r="M27" s="35">
        <f>L27/12</f>
        <v>0</v>
      </c>
    </row>
    <row r="28" spans="1:13" x14ac:dyDescent="0.2">
      <c r="A28" s="25" t="s">
        <v>399</v>
      </c>
      <c r="B28" s="25" t="s">
        <v>26</v>
      </c>
      <c r="C28" s="26">
        <f>IF(ISBLANK(B28),0,IF(ISERROR(VALUE(B28)),VLOOKUP(B28,dagsoorttabel1,2,FALSE)*dagenperjaar1,VALUE(B28)))</f>
        <v>3</v>
      </c>
      <c r="D28" s="25" t="s">
        <v>178</v>
      </c>
      <c r="E28" s="25" t="s">
        <v>400</v>
      </c>
      <c r="F28" s="25" t="s">
        <v>282</v>
      </c>
      <c r="G28" s="59"/>
      <c r="H28" s="84">
        <f>Glas!G8</f>
        <v>0</v>
      </c>
      <c r="I28" s="79"/>
      <c r="J28" s="84">
        <f>Glas!I8</f>
        <v>0</v>
      </c>
      <c r="K28" s="39">
        <f>IF(ISBLANK(G28),0,G28)*J28</f>
        <v>0</v>
      </c>
      <c r="L28" s="39">
        <f>C28*K28</f>
        <v>0</v>
      </c>
      <c r="M28" s="39">
        <f>L28/12</f>
        <v>0</v>
      </c>
    </row>
    <row r="29" spans="1:13" x14ac:dyDescent="0.2">
      <c r="A29" s="72" t="s">
        <v>232</v>
      </c>
      <c r="B29" s="41"/>
      <c r="C29" s="41"/>
      <c r="D29" s="41"/>
      <c r="E29" s="41"/>
      <c r="F29" s="41"/>
      <c r="G29" s="41"/>
      <c r="H29" s="41"/>
      <c r="I29" s="41"/>
      <c r="J29" s="41"/>
      <c r="K29" s="43">
        <f>SUM(K26:K28)</f>
        <v>0</v>
      </c>
      <c r="L29" s="43">
        <f>SUM(L26:L28)</f>
        <v>0</v>
      </c>
      <c r="M29" s="80">
        <f>L29/12</f>
        <v>0</v>
      </c>
    </row>
    <row r="31" spans="1:13" x14ac:dyDescent="0.2">
      <c r="A31" s="81" t="s">
        <v>233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73"/>
    </row>
    <row r="32" spans="1:13" x14ac:dyDescent="0.2">
      <c r="A32" s="15" t="s">
        <v>395</v>
      </c>
      <c r="B32" s="15" t="s">
        <v>26</v>
      </c>
      <c r="C32" s="16">
        <f>IF(ISBLANK(B32),0,IF(ISERROR(VALUE(B32)),VLOOKUP(B32,dagsoorttabel1,2,FALSE)*dagenperjaar1,VALUE(B32)))</f>
        <v>3</v>
      </c>
      <c r="D32" s="15" t="s">
        <v>178</v>
      </c>
      <c r="E32" s="15" t="s">
        <v>396</v>
      </c>
      <c r="F32" s="15" t="s">
        <v>282</v>
      </c>
      <c r="G32" s="74">
        <v>345</v>
      </c>
      <c r="H32" s="82">
        <f>Glas!G6</f>
        <v>0</v>
      </c>
      <c r="I32" s="75"/>
      <c r="J32" s="82">
        <f>Glas!I6</f>
        <v>0</v>
      </c>
      <c r="K32" s="32">
        <f>IF(ISBLANK(G32),0,G32)*J32</f>
        <v>0</v>
      </c>
      <c r="L32" s="32">
        <f>C32*K32</f>
        <v>0</v>
      </c>
      <c r="M32" s="32">
        <f>L32/12</f>
        <v>0</v>
      </c>
    </row>
    <row r="33" spans="1:13" x14ac:dyDescent="0.2">
      <c r="A33" s="20" t="s">
        <v>397</v>
      </c>
      <c r="B33" s="20" t="s">
        <v>26</v>
      </c>
      <c r="C33" s="21">
        <f>IF(ISBLANK(B33),0,IF(ISERROR(VALUE(B33)),VLOOKUP(B33,dagsoorttabel1,2,FALSE)*dagenperjaar1,VALUE(B33)))</f>
        <v>3</v>
      </c>
      <c r="D33" s="20" t="s">
        <v>178</v>
      </c>
      <c r="E33" s="20" t="s">
        <v>398</v>
      </c>
      <c r="F33" s="20" t="s">
        <v>282</v>
      </c>
      <c r="G33" s="76">
        <v>345</v>
      </c>
      <c r="H33" s="83">
        <f>Glas!G7</f>
        <v>0</v>
      </c>
      <c r="I33" s="77"/>
      <c r="J33" s="83">
        <f>Glas!I7</f>
        <v>0</v>
      </c>
      <c r="K33" s="35">
        <f>IF(ISBLANK(G33),0,G33)*J33</f>
        <v>0</v>
      </c>
      <c r="L33" s="35">
        <f>C33*K33</f>
        <v>0</v>
      </c>
      <c r="M33" s="35">
        <f>L33/12</f>
        <v>0</v>
      </c>
    </row>
    <row r="34" spans="1:13" x14ac:dyDescent="0.2">
      <c r="A34" s="20" t="s">
        <v>399</v>
      </c>
      <c r="B34" s="20" t="s">
        <v>26</v>
      </c>
      <c r="C34" s="21">
        <f>IF(ISBLANK(B34),0,IF(ISERROR(VALUE(B34)),VLOOKUP(B34,dagsoorttabel1,2,FALSE)*dagenperjaar1,VALUE(B34)))</f>
        <v>3</v>
      </c>
      <c r="D34" s="20" t="s">
        <v>178</v>
      </c>
      <c r="E34" s="20" t="s">
        <v>400</v>
      </c>
      <c r="F34" s="20" t="s">
        <v>282</v>
      </c>
      <c r="G34" s="76">
        <v>222</v>
      </c>
      <c r="H34" s="83">
        <f>Glas!G8</f>
        <v>0</v>
      </c>
      <c r="I34" s="77"/>
      <c r="J34" s="83">
        <f>Glas!I8</f>
        <v>0</v>
      </c>
      <c r="K34" s="35">
        <f>IF(ISBLANK(G34),0,G34)*J34</f>
        <v>0</v>
      </c>
      <c r="L34" s="35">
        <f>C34*K34</f>
        <v>0</v>
      </c>
      <c r="M34" s="35">
        <f>L34/12</f>
        <v>0</v>
      </c>
    </row>
    <row r="35" spans="1:13" x14ac:dyDescent="0.2">
      <c r="A35" s="25" t="s">
        <v>405</v>
      </c>
      <c r="B35" s="25" t="s">
        <v>26</v>
      </c>
      <c r="C35" s="26">
        <f>IF(ISBLANK(B35),0,IF(ISERROR(VALUE(B35)),VLOOKUP(B35,dagsoorttabel1,2,FALSE)*dagenperjaar1,VALUE(B35)))</f>
        <v>3</v>
      </c>
      <c r="D35" s="25" t="s">
        <v>178</v>
      </c>
      <c r="E35" s="25" t="s">
        <v>406</v>
      </c>
      <c r="F35" s="25" t="s">
        <v>282</v>
      </c>
      <c r="G35" s="78">
        <v>30</v>
      </c>
      <c r="H35" s="84">
        <f>Glas!G11</f>
        <v>0</v>
      </c>
      <c r="I35" s="79"/>
      <c r="J35" s="84">
        <f>Glas!I11</f>
        <v>0</v>
      </c>
      <c r="K35" s="39">
        <f>IF(ISBLANK(G35),0,G35)*J35</f>
        <v>0</v>
      </c>
      <c r="L35" s="39">
        <f>C35*K35</f>
        <v>0</v>
      </c>
      <c r="M35" s="39">
        <f>L35/12</f>
        <v>0</v>
      </c>
    </row>
    <row r="36" spans="1:13" x14ac:dyDescent="0.2">
      <c r="A36" s="72" t="s">
        <v>234</v>
      </c>
      <c r="B36" s="41"/>
      <c r="C36" s="41"/>
      <c r="D36" s="41"/>
      <c r="E36" s="41"/>
      <c r="F36" s="41"/>
      <c r="G36" s="41"/>
      <c r="H36" s="41"/>
      <c r="I36" s="41"/>
      <c r="J36" s="41"/>
      <c r="K36" s="43">
        <f>SUM(K32:K35)</f>
        <v>0</v>
      </c>
      <c r="L36" s="43">
        <f>SUM(L32:L35)</f>
        <v>0</v>
      </c>
      <c r="M36" s="80">
        <f>L36/12</f>
        <v>0</v>
      </c>
    </row>
    <row r="38" spans="1:13" x14ac:dyDescent="0.2">
      <c r="A38" s="81" t="s">
        <v>235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73"/>
    </row>
    <row r="39" spans="1:13" x14ac:dyDescent="0.2">
      <c r="A39" s="15" t="s">
        <v>395</v>
      </c>
      <c r="B39" s="15" t="s">
        <v>26</v>
      </c>
      <c r="C39" s="16">
        <f>IF(ISBLANK(B39),0,IF(ISERROR(VALUE(B39)),VLOOKUP(B39,dagsoorttabel1,2,FALSE)*dagenperjaar1,VALUE(B39)))</f>
        <v>3</v>
      </c>
      <c r="D39" s="15" t="s">
        <v>178</v>
      </c>
      <c r="E39" s="15" t="s">
        <v>396</v>
      </c>
      <c r="F39" s="15" t="s">
        <v>282</v>
      </c>
      <c r="G39" s="74">
        <v>58</v>
      </c>
      <c r="H39" s="82">
        <f>Glas!G6</f>
        <v>0</v>
      </c>
      <c r="I39" s="75"/>
      <c r="J39" s="82">
        <f>Glas!I6</f>
        <v>0</v>
      </c>
      <c r="K39" s="32">
        <f>IF(ISBLANK(G39),0,G39)*J39</f>
        <v>0</v>
      </c>
      <c r="L39" s="32">
        <f>C39*K39</f>
        <v>0</v>
      </c>
      <c r="M39" s="32">
        <f t="shared" ref="M39:M44" si="0">L39/12</f>
        <v>0</v>
      </c>
    </row>
    <row r="40" spans="1:13" x14ac:dyDescent="0.2">
      <c r="A40" s="20" t="s">
        <v>397</v>
      </c>
      <c r="B40" s="20" t="s">
        <v>26</v>
      </c>
      <c r="C40" s="21">
        <f>IF(ISBLANK(B40),0,IF(ISERROR(VALUE(B40)),VLOOKUP(B40,dagsoorttabel1,2,FALSE)*dagenperjaar1,VALUE(B40)))</f>
        <v>3</v>
      </c>
      <c r="D40" s="20" t="s">
        <v>178</v>
      </c>
      <c r="E40" s="20" t="s">
        <v>398</v>
      </c>
      <c r="F40" s="20" t="s">
        <v>282</v>
      </c>
      <c r="G40" s="76">
        <v>58</v>
      </c>
      <c r="H40" s="83">
        <f>Glas!G7</f>
        <v>0</v>
      </c>
      <c r="I40" s="77"/>
      <c r="J40" s="83">
        <f>Glas!I7</f>
        <v>0</v>
      </c>
      <c r="K40" s="35">
        <f>IF(ISBLANK(G40),0,G40)*J40</f>
        <v>0</v>
      </c>
      <c r="L40" s="35">
        <f>C40*K40</f>
        <v>0</v>
      </c>
      <c r="M40" s="35">
        <f t="shared" si="0"/>
        <v>0</v>
      </c>
    </row>
    <row r="41" spans="1:13" x14ac:dyDescent="0.2">
      <c r="A41" s="20" t="s">
        <v>399</v>
      </c>
      <c r="B41" s="20" t="s">
        <v>26</v>
      </c>
      <c r="C41" s="21">
        <f>IF(ISBLANK(B41),0,IF(ISERROR(VALUE(B41)),VLOOKUP(B41,dagsoorttabel1,2,FALSE)*dagenperjaar1,VALUE(B41)))</f>
        <v>3</v>
      </c>
      <c r="D41" s="20" t="s">
        <v>178</v>
      </c>
      <c r="E41" s="20" t="s">
        <v>400</v>
      </c>
      <c r="F41" s="20" t="s">
        <v>282</v>
      </c>
      <c r="G41" s="76">
        <v>41</v>
      </c>
      <c r="H41" s="83">
        <f>Glas!G8</f>
        <v>0</v>
      </c>
      <c r="I41" s="77"/>
      <c r="J41" s="83">
        <f>Glas!I8</f>
        <v>0</v>
      </c>
      <c r="K41" s="35">
        <f>IF(ISBLANK(G41),0,G41)*J41</f>
        <v>0</v>
      </c>
      <c r="L41" s="35">
        <f>C41*K41</f>
        <v>0</v>
      </c>
      <c r="M41" s="35">
        <f t="shared" si="0"/>
        <v>0</v>
      </c>
    </row>
    <row r="42" spans="1:13" x14ac:dyDescent="0.2">
      <c r="A42" s="20" t="s">
        <v>401</v>
      </c>
      <c r="B42" s="20" t="s">
        <v>26</v>
      </c>
      <c r="C42" s="21">
        <f>IF(ISBLANK(B42),0,IF(ISERROR(VALUE(B42)),VLOOKUP(B42,dagsoorttabel1,2,FALSE)*dagenperjaar1,VALUE(B42)))</f>
        <v>3</v>
      </c>
      <c r="D42" s="20" t="s">
        <v>178</v>
      </c>
      <c r="E42" s="20" t="s">
        <v>402</v>
      </c>
      <c r="F42" s="20" t="s">
        <v>282</v>
      </c>
      <c r="G42" s="76">
        <v>60</v>
      </c>
      <c r="H42" s="83">
        <f>Glas!G9</f>
        <v>0</v>
      </c>
      <c r="I42" s="77"/>
      <c r="J42" s="83">
        <f>Glas!I9</f>
        <v>0</v>
      </c>
      <c r="K42" s="35">
        <f>IF(ISBLANK(G42),0,G42)*J42</f>
        <v>0</v>
      </c>
      <c r="L42" s="35">
        <f>C42*K42</f>
        <v>0</v>
      </c>
      <c r="M42" s="35">
        <f t="shared" si="0"/>
        <v>0</v>
      </c>
    </row>
    <row r="43" spans="1:13" x14ac:dyDescent="0.2">
      <c r="A43" s="25" t="s">
        <v>403</v>
      </c>
      <c r="B43" s="25" t="s">
        <v>26</v>
      </c>
      <c r="C43" s="26">
        <f>IF(ISBLANK(B43),0,IF(ISERROR(VALUE(B43)),VLOOKUP(B43,dagsoorttabel1,2,FALSE)*dagenperjaar1,VALUE(B43)))</f>
        <v>3</v>
      </c>
      <c r="D43" s="25" t="s">
        <v>178</v>
      </c>
      <c r="E43" s="25" t="s">
        <v>404</v>
      </c>
      <c r="F43" s="25" t="s">
        <v>282</v>
      </c>
      <c r="G43" s="78">
        <v>60</v>
      </c>
      <c r="H43" s="84">
        <f>Glas!G10</f>
        <v>0</v>
      </c>
      <c r="I43" s="79"/>
      <c r="J43" s="84">
        <f>Glas!I10</f>
        <v>0</v>
      </c>
      <c r="K43" s="39">
        <f>IF(ISBLANK(G43),0,G43)*J43</f>
        <v>0</v>
      </c>
      <c r="L43" s="39">
        <f>C43*K43</f>
        <v>0</v>
      </c>
      <c r="M43" s="39">
        <f t="shared" si="0"/>
        <v>0</v>
      </c>
    </row>
    <row r="44" spans="1:13" x14ac:dyDescent="0.2">
      <c r="A44" s="72" t="s">
        <v>236</v>
      </c>
      <c r="B44" s="41"/>
      <c r="C44" s="41"/>
      <c r="D44" s="41"/>
      <c r="E44" s="41"/>
      <c r="F44" s="41"/>
      <c r="G44" s="41"/>
      <c r="H44" s="41"/>
      <c r="I44" s="41"/>
      <c r="J44" s="41"/>
      <c r="K44" s="43">
        <f>SUM(K39:K43)</f>
        <v>0</v>
      </c>
      <c r="L44" s="43">
        <f>SUM(L39:L43)</f>
        <v>0</v>
      </c>
      <c r="M44" s="80">
        <f t="shared" si="0"/>
        <v>0</v>
      </c>
    </row>
    <row r="46" spans="1:13" x14ac:dyDescent="0.2">
      <c r="A46" s="81" t="s">
        <v>237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73"/>
    </row>
    <row r="47" spans="1:13" x14ac:dyDescent="0.2">
      <c r="A47" s="15" t="s">
        <v>395</v>
      </c>
      <c r="B47" s="15" t="s">
        <v>26</v>
      </c>
      <c r="C47" s="16">
        <f>IF(ISBLANK(B47),0,IF(ISERROR(VALUE(B47)),VLOOKUP(B47,dagsoorttabel1,2,FALSE)*dagenperjaar1,VALUE(B47)))</f>
        <v>3</v>
      </c>
      <c r="D47" s="15" t="s">
        <v>178</v>
      </c>
      <c r="E47" s="15" t="s">
        <v>396</v>
      </c>
      <c r="F47" s="15" t="s">
        <v>282</v>
      </c>
      <c r="G47" s="74">
        <v>447.24</v>
      </c>
      <c r="H47" s="82">
        <f>Glas!G6</f>
        <v>0</v>
      </c>
      <c r="I47" s="75"/>
      <c r="J47" s="82">
        <f>Glas!I6</f>
        <v>0</v>
      </c>
      <c r="K47" s="32">
        <f>IF(ISBLANK(G47),0,G47)*J47</f>
        <v>0</v>
      </c>
      <c r="L47" s="32">
        <f>C47*K47</f>
        <v>0</v>
      </c>
      <c r="M47" s="32">
        <f>L47/12</f>
        <v>0</v>
      </c>
    </row>
    <row r="48" spans="1:13" x14ac:dyDescent="0.2">
      <c r="A48" s="20" t="s">
        <v>397</v>
      </c>
      <c r="B48" s="20" t="s">
        <v>26</v>
      </c>
      <c r="C48" s="21">
        <f>IF(ISBLANK(B48),0,IF(ISERROR(VALUE(B48)),VLOOKUP(B48,dagsoorttabel1,2,FALSE)*dagenperjaar1,VALUE(B48)))</f>
        <v>3</v>
      </c>
      <c r="D48" s="20" t="s">
        <v>178</v>
      </c>
      <c r="E48" s="20" t="s">
        <v>398</v>
      </c>
      <c r="F48" s="20" t="s">
        <v>282</v>
      </c>
      <c r="G48" s="76">
        <v>447.24</v>
      </c>
      <c r="H48" s="83">
        <f>Glas!G7</f>
        <v>0</v>
      </c>
      <c r="I48" s="77"/>
      <c r="J48" s="83">
        <f>Glas!I7</f>
        <v>0</v>
      </c>
      <c r="K48" s="35">
        <f>IF(ISBLANK(G48),0,G48)*J48</f>
        <v>0</v>
      </c>
      <c r="L48" s="35">
        <f>C48*K48</f>
        <v>0</v>
      </c>
      <c r="M48" s="35">
        <f>L48/12</f>
        <v>0</v>
      </c>
    </row>
    <row r="49" spans="1:13" x14ac:dyDescent="0.2">
      <c r="A49" s="20" t="s">
        <v>399</v>
      </c>
      <c r="B49" s="20" t="s">
        <v>26</v>
      </c>
      <c r="C49" s="21">
        <f>IF(ISBLANK(B49),0,IF(ISERROR(VALUE(B49)),VLOOKUP(B49,dagsoorttabel1,2,FALSE)*dagenperjaar1,VALUE(B49)))</f>
        <v>3</v>
      </c>
      <c r="D49" s="20" t="s">
        <v>178</v>
      </c>
      <c r="E49" s="20" t="s">
        <v>400</v>
      </c>
      <c r="F49" s="20" t="s">
        <v>282</v>
      </c>
      <c r="G49" s="76">
        <v>795</v>
      </c>
      <c r="H49" s="83">
        <f>Glas!G8</f>
        <v>0</v>
      </c>
      <c r="I49" s="77"/>
      <c r="J49" s="83">
        <f>Glas!I8</f>
        <v>0</v>
      </c>
      <c r="K49" s="35">
        <f>IF(ISBLANK(G49),0,G49)*J49</f>
        <v>0</v>
      </c>
      <c r="L49" s="35">
        <f>C49*K49</f>
        <v>0</v>
      </c>
      <c r="M49" s="35">
        <f>L49/12</f>
        <v>0</v>
      </c>
    </row>
    <row r="50" spans="1:13" x14ac:dyDescent="0.2">
      <c r="A50" s="25" t="s">
        <v>409</v>
      </c>
      <c r="B50" s="25" t="s">
        <v>26</v>
      </c>
      <c r="C50" s="26">
        <f>IF(ISBLANK(B50),0,IF(ISERROR(VALUE(B50)),VLOOKUP(B50,dagsoorttabel1,2,FALSE)*dagenperjaar1,VALUE(B50)))</f>
        <v>3</v>
      </c>
      <c r="D50" s="25" t="s">
        <v>178</v>
      </c>
      <c r="E50" s="25" t="s">
        <v>410</v>
      </c>
      <c r="F50" s="25" t="s">
        <v>411</v>
      </c>
      <c r="G50" s="78">
        <v>1</v>
      </c>
      <c r="H50" s="84">
        <f>Glas!G13</f>
        <v>0</v>
      </c>
      <c r="I50" s="79"/>
      <c r="J50" s="84">
        <f>Glas!I13</f>
        <v>0</v>
      </c>
      <c r="K50" s="39">
        <f>IF(ISBLANK(G50),1,G50)*J50</f>
        <v>0</v>
      </c>
      <c r="L50" s="39">
        <f>C50*K50</f>
        <v>0</v>
      </c>
      <c r="M50" s="39">
        <f>L50/12</f>
        <v>0</v>
      </c>
    </row>
    <row r="51" spans="1:13" x14ac:dyDescent="0.2">
      <c r="A51" s="72" t="s">
        <v>238</v>
      </c>
      <c r="B51" s="41"/>
      <c r="C51" s="41"/>
      <c r="D51" s="41"/>
      <c r="E51" s="41"/>
      <c r="F51" s="41"/>
      <c r="G51" s="41"/>
      <c r="H51" s="41"/>
      <c r="I51" s="41"/>
      <c r="J51" s="41"/>
      <c r="K51" s="43">
        <f>SUM(K47:K50)</f>
        <v>0</v>
      </c>
      <c r="L51" s="43">
        <f>SUM(L47:L50)</f>
        <v>0</v>
      </c>
      <c r="M51" s="80">
        <f>L51/12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SOMA College EA 2022                              &amp;ROpmaakdatum: 20-12-2021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0B33-0256-4E9A-B34C-FF23DF646A75}">
  <dimension ref="A1:E11"/>
  <sheetViews>
    <sheetView workbookViewId="0">
      <selection activeCell="G42" sqref="G42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I.10: ",tabeltype," totaalblad schoonmaakwerk")</f>
        <v>Bijlage I.10: Invultabel totaalblad schoonmaakwerk</v>
      </c>
    </row>
    <row r="3" spans="1:5" ht="25.5" x14ac:dyDescent="0.2">
      <c r="A3" s="8" t="s">
        <v>413</v>
      </c>
      <c r="B3" s="8" t="s">
        <v>414</v>
      </c>
      <c r="C3" s="8" t="s">
        <v>415</v>
      </c>
      <c r="D3" s="8" t="s">
        <v>416</v>
      </c>
      <c r="E3" s="8" t="s">
        <v>417</v>
      </c>
    </row>
    <row r="4" spans="1:5" x14ac:dyDescent="0.2">
      <c r="A4" s="85" t="s">
        <v>418</v>
      </c>
      <c r="B4" s="30">
        <f>urenjaartotaaloverzicht</f>
        <v>0</v>
      </c>
      <c r="C4" s="64"/>
      <c r="D4" s="32">
        <f>prijsjaartotaaloverzicht</f>
        <v>0</v>
      </c>
      <c r="E4" s="32">
        <f>D4*1.21</f>
        <v>0</v>
      </c>
    </row>
    <row r="5" spans="1:5" x14ac:dyDescent="0.2">
      <c r="A5" s="86" t="s">
        <v>223</v>
      </c>
      <c r="B5" s="67"/>
      <c r="C5" s="33">
        <f>urenjaarnietmeewerkend</f>
        <v>0</v>
      </c>
      <c r="D5" s="35">
        <f>prijsjaarnietmeewerkend</f>
        <v>0</v>
      </c>
      <c r="E5" s="35">
        <f>D5*1.21</f>
        <v>0</v>
      </c>
    </row>
    <row r="6" spans="1:5" x14ac:dyDescent="0.2">
      <c r="A6" s="86" t="s">
        <v>419</v>
      </c>
      <c r="B6" s="67"/>
      <c r="C6" s="67"/>
      <c r="D6" s="35">
        <f>prijsjaarregie</f>
        <v>0</v>
      </c>
      <c r="E6" s="35">
        <f>D6*1.21</f>
        <v>0</v>
      </c>
    </row>
    <row r="7" spans="1:5" x14ac:dyDescent="0.2">
      <c r="A7" s="87" t="s">
        <v>420</v>
      </c>
      <c r="B7" s="88"/>
      <c r="C7" s="88"/>
      <c r="D7" s="39">
        <f>prijsjaarglas</f>
        <v>0</v>
      </c>
      <c r="E7" s="39">
        <f>D7*1.21</f>
        <v>0</v>
      </c>
    </row>
    <row r="9" spans="1:5" x14ac:dyDescent="0.2">
      <c r="A9" s="8" t="s">
        <v>421</v>
      </c>
      <c r="B9" s="42">
        <f>SUM(B4:B7)</f>
        <v>0</v>
      </c>
      <c r="C9" s="42">
        <f>SUM(C4:C7)</f>
        <v>0</v>
      </c>
      <c r="D9" s="43">
        <f>SUM(D4:D7)</f>
        <v>0</v>
      </c>
      <c r="E9" s="43">
        <f>D9*1.21</f>
        <v>0</v>
      </c>
    </row>
    <row r="11" spans="1:5" x14ac:dyDescent="0.2">
      <c r="A11" s="8" t="s">
        <v>422</v>
      </c>
      <c r="B11" s="89">
        <f>IF(B9&gt;0,C9/B9,0)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SOMA College EA 2022                              &amp;ROpmaakdatum: 20-12-2021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7165-8C83-418E-8E23-7BF283457A2B}">
  <dimension ref="A1:H42"/>
  <sheetViews>
    <sheetView tabSelected="1" workbookViewId="0">
      <selection activeCell="C37" sqref="C37"/>
    </sheetView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I.1: ",tabeltype," categorienormen")</f>
        <v>Bijlage I.1: Invultabel categorienormen</v>
      </c>
    </row>
    <row r="3" spans="1:8" ht="38.25" x14ac:dyDescent="0.2">
      <c r="A3" s="8" t="s">
        <v>29</v>
      </c>
      <c r="B3" s="8" t="s">
        <v>30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37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38</v>
      </c>
      <c r="B6" s="16" t="s">
        <v>39</v>
      </c>
      <c r="C6" s="15">
        <v>1</v>
      </c>
      <c r="D6" s="15" t="s">
        <v>40</v>
      </c>
      <c r="E6" s="17"/>
      <c r="F6" s="18"/>
      <c r="G6" s="15" t="s">
        <v>41</v>
      </c>
      <c r="H6" s="19"/>
    </row>
    <row r="7" spans="1:8" x14ac:dyDescent="0.2">
      <c r="A7" s="20" t="s">
        <v>42</v>
      </c>
      <c r="B7" s="21" t="s">
        <v>39</v>
      </c>
      <c r="C7" s="20">
        <v>47</v>
      </c>
      <c r="D7" s="20" t="s">
        <v>43</v>
      </c>
      <c r="E7" s="22"/>
      <c r="F7" s="23"/>
      <c r="G7" s="20" t="s">
        <v>41</v>
      </c>
      <c r="H7" s="24"/>
    </row>
    <row r="8" spans="1:8" x14ac:dyDescent="0.2">
      <c r="A8" s="20" t="s">
        <v>42</v>
      </c>
      <c r="B8" s="21" t="s">
        <v>39</v>
      </c>
      <c r="C8" s="20">
        <v>51</v>
      </c>
      <c r="D8" s="20" t="s">
        <v>43</v>
      </c>
      <c r="E8" s="22"/>
      <c r="F8" s="23"/>
      <c r="G8" s="20" t="s">
        <v>41</v>
      </c>
      <c r="H8" s="24"/>
    </row>
    <row r="9" spans="1:8" x14ac:dyDescent="0.2">
      <c r="A9" s="20" t="s">
        <v>44</v>
      </c>
      <c r="B9" s="21" t="s">
        <v>45</v>
      </c>
      <c r="C9" s="20">
        <v>1</v>
      </c>
      <c r="D9" s="20" t="s">
        <v>46</v>
      </c>
      <c r="E9" s="22"/>
      <c r="F9" s="23"/>
      <c r="G9" s="20" t="s">
        <v>41</v>
      </c>
      <c r="H9" s="24"/>
    </row>
    <row r="10" spans="1:8" x14ac:dyDescent="0.2">
      <c r="A10" s="20" t="s">
        <v>47</v>
      </c>
      <c r="B10" s="21" t="s">
        <v>45</v>
      </c>
      <c r="C10" s="20">
        <v>47</v>
      </c>
      <c r="D10" s="20" t="s">
        <v>48</v>
      </c>
      <c r="E10" s="22"/>
      <c r="F10" s="23"/>
      <c r="G10" s="20" t="s">
        <v>41</v>
      </c>
      <c r="H10" s="24"/>
    </row>
    <row r="11" spans="1:8" x14ac:dyDescent="0.2">
      <c r="A11" s="20" t="s">
        <v>49</v>
      </c>
      <c r="B11" s="21" t="s">
        <v>45</v>
      </c>
      <c r="C11" s="20">
        <v>1</v>
      </c>
      <c r="D11" s="20" t="s">
        <v>50</v>
      </c>
      <c r="E11" s="22"/>
      <c r="F11" s="23"/>
      <c r="G11" s="20" t="s">
        <v>41</v>
      </c>
      <c r="H11" s="24"/>
    </row>
    <row r="12" spans="1:8" x14ac:dyDescent="0.2">
      <c r="A12" s="20" t="s">
        <v>51</v>
      </c>
      <c r="B12" s="21" t="s">
        <v>45</v>
      </c>
      <c r="C12" s="20">
        <v>47</v>
      </c>
      <c r="D12" s="20" t="s">
        <v>52</v>
      </c>
      <c r="E12" s="22"/>
      <c r="F12" s="23"/>
      <c r="G12" s="20" t="s">
        <v>41</v>
      </c>
      <c r="H12" s="24"/>
    </row>
    <row r="13" spans="1:8" x14ac:dyDescent="0.2">
      <c r="A13" s="20" t="s">
        <v>53</v>
      </c>
      <c r="B13" s="21" t="s">
        <v>45</v>
      </c>
      <c r="C13" s="20">
        <v>1</v>
      </c>
      <c r="D13" s="20" t="s">
        <v>54</v>
      </c>
      <c r="E13" s="22"/>
      <c r="F13" s="23"/>
      <c r="G13" s="20" t="s">
        <v>41</v>
      </c>
      <c r="H13" s="24"/>
    </row>
    <row r="14" spans="1:8" x14ac:dyDescent="0.2">
      <c r="A14" s="20" t="s">
        <v>53</v>
      </c>
      <c r="B14" s="21" t="s">
        <v>45</v>
      </c>
      <c r="C14" s="20">
        <v>51</v>
      </c>
      <c r="D14" s="20" t="s">
        <v>55</v>
      </c>
      <c r="E14" s="22"/>
      <c r="F14" s="23"/>
      <c r="G14" s="20" t="s">
        <v>41</v>
      </c>
      <c r="H14" s="24"/>
    </row>
    <row r="15" spans="1:8" x14ac:dyDescent="0.2">
      <c r="A15" s="20" t="s">
        <v>56</v>
      </c>
      <c r="B15" s="21" t="s">
        <v>57</v>
      </c>
      <c r="C15" s="20">
        <v>1</v>
      </c>
      <c r="D15" s="20" t="s">
        <v>58</v>
      </c>
      <c r="E15" s="22"/>
      <c r="F15" s="23"/>
      <c r="G15" s="20" t="s">
        <v>41</v>
      </c>
      <c r="H15" s="24"/>
    </row>
    <row r="16" spans="1:8" x14ac:dyDescent="0.2">
      <c r="A16" s="20" t="s">
        <v>59</v>
      </c>
      <c r="B16" s="21" t="s">
        <v>57</v>
      </c>
      <c r="C16" s="20">
        <v>1</v>
      </c>
      <c r="D16" s="20" t="s">
        <v>60</v>
      </c>
      <c r="E16" s="22"/>
      <c r="F16" s="23"/>
      <c r="G16" s="20" t="s">
        <v>41</v>
      </c>
      <c r="H16" s="24"/>
    </row>
    <row r="17" spans="1:8" x14ac:dyDescent="0.2">
      <c r="A17" s="20" t="s">
        <v>61</v>
      </c>
      <c r="B17" s="21" t="s">
        <v>57</v>
      </c>
      <c r="C17" s="20">
        <v>47</v>
      </c>
      <c r="D17" s="20" t="s">
        <v>62</v>
      </c>
      <c r="E17" s="22"/>
      <c r="F17" s="23"/>
      <c r="G17" s="20" t="s">
        <v>41</v>
      </c>
      <c r="H17" s="24"/>
    </row>
    <row r="18" spans="1:8" x14ac:dyDescent="0.2">
      <c r="A18" s="20" t="s">
        <v>63</v>
      </c>
      <c r="B18" s="21" t="s">
        <v>57</v>
      </c>
      <c r="C18" s="20">
        <v>47</v>
      </c>
      <c r="D18" s="20" t="s">
        <v>64</v>
      </c>
      <c r="E18" s="22"/>
      <c r="F18" s="23"/>
      <c r="G18" s="20" t="s">
        <v>41</v>
      </c>
      <c r="H18" s="24"/>
    </row>
    <row r="19" spans="1:8" x14ac:dyDescent="0.2">
      <c r="A19" s="20" t="s">
        <v>65</v>
      </c>
      <c r="B19" s="21" t="s">
        <v>66</v>
      </c>
      <c r="C19" s="20">
        <v>1</v>
      </c>
      <c r="D19" s="20" t="s">
        <v>67</v>
      </c>
      <c r="E19" s="22"/>
      <c r="F19" s="23"/>
      <c r="G19" s="20" t="s">
        <v>41</v>
      </c>
      <c r="H19" s="24"/>
    </row>
    <row r="20" spans="1:8" x14ac:dyDescent="0.2">
      <c r="A20" s="20" t="s">
        <v>68</v>
      </c>
      <c r="B20" s="21" t="s">
        <v>66</v>
      </c>
      <c r="C20" s="20">
        <v>1</v>
      </c>
      <c r="D20" s="20" t="s">
        <v>69</v>
      </c>
      <c r="E20" s="22"/>
      <c r="F20" s="23"/>
      <c r="G20" s="20" t="s">
        <v>41</v>
      </c>
      <c r="H20" s="24"/>
    </row>
    <row r="21" spans="1:8" x14ac:dyDescent="0.2">
      <c r="A21" s="20" t="s">
        <v>70</v>
      </c>
      <c r="B21" s="21" t="s">
        <v>66</v>
      </c>
      <c r="C21" s="20">
        <v>1</v>
      </c>
      <c r="D21" s="20" t="s">
        <v>71</v>
      </c>
      <c r="E21" s="22"/>
      <c r="F21" s="23"/>
      <c r="G21" s="20" t="s">
        <v>41</v>
      </c>
      <c r="H21" s="24"/>
    </row>
    <row r="22" spans="1:8" x14ac:dyDescent="0.2">
      <c r="A22" s="20" t="s">
        <v>72</v>
      </c>
      <c r="B22" s="21" t="s">
        <v>66</v>
      </c>
      <c r="C22" s="20">
        <v>1</v>
      </c>
      <c r="D22" s="20" t="s">
        <v>73</v>
      </c>
      <c r="E22" s="22"/>
      <c r="F22" s="23"/>
      <c r="G22" s="20" t="s">
        <v>41</v>
      </c>
      <c r="H22" s="24"/>
    </row>
    <row r="23" spans="1:8" x14ac:dyDescent="0.2">
      <c r="A23" s="20" t="s">
        <v>74</v>
      </c>
      <c r="B23" s="21" t="s">
        <v>66</v>
      </c>
      <c r="C23" s="20">
        <v>1</v>
      </c>
      <c r="D23" s="20" t="s">
        <v>75</v>
      </c>
      <c r="E23" s="22"/>
      <c r="F23" s="23"/>
      <c r="G23" s="20" t="s">
        <v>41</v>
      </c>
      <c r="H23" s="24"/>
    </row>
    <row r="24" spans="1:8" x14ac:dyDescent="0.2">
      <c r="A24" s="20" t="s">
        <v>76</v>
      </c>
      <c r="B24" s="21" t="s">
        <v>66</v>
      </c>
      <c r="C24" s="20">
        <v>1</v>
      </c>
      <c r="D24" s="20" t="s">
        <v>77</v>
      </c>
      <c r="E24" s="22"/>
      <c r="F24" s="23"/>
      <c r="G24" s="20" t="s">
        <v>41</v>
      </c>
      <c r="H24" s="24"/>
    </row>
    <row r="25" spans="1:8" x14ac:dyDescent="0.2">
      <c r="A25" s="20" t="s">
        <v>78</v>
      </c>
      <c r="B25" s="21" t="s">
        <v>66</v>
      </c>
      <c r="C25" s="20">
        <v>1</v>
      </c>
      <c r="D25" s="20" t="s">
        <v>79</v>
      </c>
      <c r="E25" s="22"/>
      <c r="F25" s="23"/>
      <c r="G25" s="20" t="s">
        <v>41</v>
      </c>
      <c r="H25" s="24"/>
    </row>
    <row r="26" spans="1:8" x14ac:dyDescent="0.2">
      <c r="A26" s="20" t="s">
        <v>80</v>
      </c>
      <c r="B26" s="21" t="s">
        <v>66</v>
      </c>
      <c r="C26" s="20">
        <v>1</v>
      </c>
      <c r="D26" s="20" t="s">
        <v>81</v>
      </c>
      <c r="E26" s="22"/>
      <c r="F26" s="23"/>
      <c r="G26" s="20" t="s">
        <v>41</v>
      </c>
      <c r="H26" s="24"/>
    </row>
    <row r="27" spans="1:8" x14ac:dyDescent="0.2">
      <c r="A27" s="20" t="s">
        <v>82</v>
      </c>
      <c r="B27" s="21" t="s">
        <v>66</v>
      </c>
      <c r="C27" s="20">
        <v>47</v>
      </c>
      <c r="D27" s="20" t="s">
        <v>83</v>
      </c>
      <c r="E27" s="22"/>
      <c r="F27" s="23"/>
      <c r="G27" s="20" t="s">
        <v>41</v>
      </c>
      <c r="H27" s="24"/>
    </row>
    <row r="28" spans="1:8" x14ac:dyDescent="0.2">
      <c r="A28" s="20" t="s">
        <v>84</v>
      </c>
      <c r="B28" s="21" t="s">
        <v>66</v>
      </c>
      <c r="C28" s="20">
        <v>47</v>
      </c>
      <c r="D28" s="20" t="s">
        <v>85</v>
      </c>
      <c r="E28" s="22"/>
      <c r="F28" s="23"/>
      <c r="G28" s="20" t="s">
        <v>41</v>
      </c>
      <c r="H28" s="24"/>
    </row>
    <row r="29" spans="1:8" x14ac:dyDescent="0.2">
      <c r="A29" s="20" t="s">
        <v>86</v>
      </c>
      <c r="B29" s="21" t="s">
        <v>66</v>
      </c>
      <c r="C29" s="20">
        <v>51</v>
      </c>
      <c r="D29" s="20" t="s">
        <v>87</v>
      </c>
      <c r="E29" s="22"/>
      <c r="F29" s="23"/>
      <c r="G29" s="20" t="s">
        <v>41</v>
      </c>
      <c r="H29" s="24"/>
    </row>
    <row r="30" spans="1:8" x14ac:dyDescent="0.2">
      <c r="A30" s="20" t="s">
        <v>88</v>
      </c>
      <c r="B30" s="21" t="s">
        <v>66</v>
      </c>
      <c r="C30" s="20">
        <v>47</v>
      </c>
      <c r="D30" s="20" t="s">
        <v>89</v>
      </c>
      <c r="E30" s="22"/>
      <c r="F30" s="23"/>
      <c r="G30" s="20" t="s">
        <v>41</v>
      </c>
      <c r="H30" s="24"/>
    </row>
    <row r="31" spans="1:8" x14ac:dyDescent="0.2">
      <c r="A31" s="20" t="s">
        <v>88</v>
      </c>
      <c r="B31" s="21" t="s">
        <v>66</v>
      </c>
      <c r="C31" s="20">
        <v>51</v>
      </c>
      <c r="D31" s="20" t="s">
        <v>89</v>
      </c>
      <c r="E31" s="22"/>
      <c r="F31" s="23"/>
      <c r="G31" s="20" t="s">
        <v>41</v>
      </c>
      <c r="H31" s="24"/>
    </row>
    <row r="32" spans="1:8" x14ac:dyDescent="0.2">
      <c r="A32" s="20" t="s">
        <v>90</v>
      </c>
      <c r="B32" s="21" t="s">
        <v>66</v>
      </c>
      <c r="C32" s="20">
        <v>6</v>
      </c>
      <c r="D32" s="20" t="s">
        <v>91</v>
      </c>
      <c r="E32" s="22"/>
      <c r="F32" s="23"/>
      <c r="G32" s="20" t="s">
        <v>41</v>
      </c>
      <c r="H32" s="24"/>
    </row>
    <row r="33" spans="1:8" x14ac:dyDescent="0.2">
      <c r="A33" s="20" t="s">
        <v>90</v>
      </c>
      <c r="B33" s="21" t="s">
        <v>66</v>
      </c>
      <c r="C33" s="20">
        <v>47</v>
      </c>
      <c r="D33" s="20" t="s">
        <v>91</v>
      </c>
      <c r="E33" s="22"/>
      <c r="F33" s="23"/>
      <c r="G33" s="20" t="s">
        <v>41</v>
      </c>
      <c r="H33" s="24"/>
    </row>
    <row r="34" spans="1:8" x14ac:dyDescent="0.2">
      <c r="A34" s="20" t="s">
        <v>92</v>
      </c>
      <c r="B34" s="21" t="s">
        <v>66</v>
      </c>
      <c r="C34" s="20">
        <v>47</v>
      </c>
      <c r="D34" s="20" t="s">
        <v>93</v>
      </c>
      <c r="E34" s="22"/>
      <c r="F34" s="23"/>
      <c r="G34" s="20" t="s">
        <v>41</v>
      </c>
      <c r="H34" s="24"/>
    </row>
    <row r="35" spans="1:8" x14ac:dyDescent="0.2">
      <c r="A35" s="20" t="s">
        <v>92</v>
      </c>
      <c r="B35" s="21" t="s">
        <v>66</v>
      </c>
      <c r="C35" s="20">
        <v>51</v>
      </c>
      <c r="D35" s="20" t="s">
        <v>93</v>
      </c>
      <c r="E35" s="22"/>
      <c r="F35" s="23"/>
      <c r="G35" s="20" t="s">
        <v>41</v>
      </c>
      <c r="H35" s="24"/>
    </row>
    <row r="36" spans="1:8" x14ac:dyDescent="0.2">
      <c r="A36" s="20" t="s">
        <v>94</v>
      </c>
      <c r="B36" s="21" t="s">
        <v>66</v>
      </c>
      <c r="C36" s="20">
        <v>51</v>
      </c>
      <c r="D36" s="20" t="s">
        <v>95</v>
      </c>
      <c r="E36" s="22"/>
      <c r="F36" s="23"/>
      <c r="G36" s="20" t="s">
        <v>41</v>
      </c>
      <c r="H36" s="24"/>
    </row>
    <row r="37" spans="1:8" x14ac:dyDescent="0.2">
      <c r="A37" s="20" t="s">
        <v>94</v>
      </c>
      <c r="B37" s="21" t="s">
        <v>66</v>
      </c>
      <c r="C37" s="20">
        <v>47</v>
      </c>
      <c r="D37" s="20" t="s">
        <v>95</v>
      </c>
      <c r="E37" s="22"/>
      <c r="F37" s="23"/>
      <c r="G37" s="20" t="s">
        <v>41</v>
      </c>
      <c r="H37" s="24"/>
    </row>
    <row r="38" spans="1:8" x14ac:dyDescent="0.2">
      <c r="A38" s="20" t="s">
        <v>96</v>
      </c>
      <c r="B38" s="21" t="s">
        <v>66</v>
      </c>
      <c r="C38" s="20">
        <v>47</v>
      </c>
      <c r="D38" s="20" t="s">
        <v>97</v>
      </c>
      <c r="E38" s="22"/>
      <c r="F38" s="23"/>
      <c r="G38" s="20" t="s">
        <v>41</v>
      </c>
      <c r="H38" s="24"/>
    </row>
    <row r="39" spans="1:8" x14ac:dyDescent="0.2">
      <c r="A39" s="20" t="s">
        <v>96</v>
      </c>
      <c r="B39" s="21" t="s">
        <v>66</v>
      </c>
      <c r="C39" s="20">
        <v>51</v>
      </c>
      <c r="D39" s="20" t="s">
        <v>97</v>
      </c>
      <c r="E39" s="22"/>
      <c r="F39" s="23"/>
      <c r="G39" s="20" t="s">
        <v>41</v>
      </c>
      <c r="H39" s="24"/>
    </row>
    <row r="40" spans="1:8" x14ac:dyDescent="0.2">
      <c r="A40" s="20" t="s">
        <v>98</v>
      </c>
      <c r="B40" s="21" t="s">
        <v>66</v>
      </c>
      <c r="C40" s="20">
        <v>1</v>
      </c>
      <c r="D40" s="20" t="s">
        <v>99</v>
      </c>
      <c r="E40" s="22"/>
      <c r="F40" s="23"/>
      <c r="G40" s="20" t="s">
        <v>41</v>
      </c>
      <c r="H40" s="24"/>
    </row>
    <row r="41" spans="1:8" x14ac:dyDescent="0.2">
      <c r="A41" s="20" t="s">
        <v>100</v>
      </c>
      <c r="B41" s="21" t="s">
        <v>66</v>
      </c>
      <c r="C41" s="20">
        <v>47</v>
      </c>
      <c r="D41" s="20" t="s">
        <v>101</v>
      </c>
      <c r="E41" s="22"/>
      <c r="F41" s="23"/>
      <c r="G41" s="20" t="s">
        <v>41</v>
      </c>
      <c r="H41" s="24"/>
    </row>
    <row r="42" spans="1:8" x14ac:dyDescent="0.2">
      <c r="A42" s="25" t="s">
        <v>102</v>
      </c>
      <c r="B42" s="26" t="s">
        <v>103</v>
      </c>
      <c r="C42" s="25">
        <v>1</v>
      </c>
      <c r="D42" s="25" t="s">
        <v>104</v>
      </c>
      <c r="E42" s="27"/>
      <c r="F42" s="28"/>
      <c r="G42" s="25" t="s">
        <v>41</v>
      </c>
      <c r="H42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SOMA College EA 2022                              &amp;ROpmaakdatum: 20-12-2021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E62D-8612-41BF-97B4-D9E9C72AA57B}">
  <dimension ref="A1:M4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7" width="11.625" customWidth="1"/>
    <col min="8" max="8" width="9.625" customWidth="1"/>
    <col min="9" max="11" width="11.625" customWidth="1"/>
    <col min="12" max="12" width="12.625" customWidth="1"/>
    <col min="13" max="13" width="14.625" customWidth="1"/>
  </cols>
  <sheetData>
    <row r="1" spans="1:13" x14ac:dyDescent="0.2">
      <c r="A1" s="1" t="str">
        <f>CONCATENATE("Bijlage I.2: ",tabeltype," regulier werk")</f>
        <v>Bijlage I.2: Invultabel regulier werk</v>
      </c>
    </row>
    <row r="3" spans="1:13" ht="38.25" x14ac:dyDescent="0.2">
      <c r="A3" s="8" t="s">
        <v>105</v>
      </c>
      <c r="B3" s="8" t="s">
        <v>7</v>
      </c>
      <c r="C3" s="8" t="s">
        <v>106</v>
      </c>
      <c r="D3" s="8" t="s">
        <v>32</v>
      </c>
      <c r="E3" s="8" t="s">
        <v>107</v>
      </c>
      <c r="F3" s="8" t="s">
        <v>108</v>
      </c>
      <c r="G3" s="8" t="s">
        <v>33</v>
      </c>
      <c r="H3" s="8" t="s">
        <v>35</v>
      </c>
      <c r="I3" s="8" t="s">
        <v>36</v>
      </c>
      <c r="J3" s="8" t="s">
        <v>109</v>
      </c>
      <c r="K3" s="8" t="s">
        <v>110</v>
      </c>
      <c r="L3" s="8" t="s">
        <v>111</v>
      </c>
      <c r="M3" s="8" t="s">
        <v>112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113</v>
      </c>
      <c r="B6" s="15" t="s">
        <v>15</v>
      </c>
      <c r="C6" s="15" t="s">
        <v>114</v>
      </c>
      <c r="D6" s="15" t="s">
        <v>115</v>
      </c>
      <c r="E6" s="30">
        <v>2008.9999999999995</v>
      </c>
      <c r="F6" s="30">
        <f t="shared" ref="F6:F35" si="0">E6*VLOOKUP(B6,dagsoorttabel1,2,FALSE)</f>
        <v>1110.8588235294117</v>
      </c>
      <c r="G6" s="31">
        <f>IF(AND(catpn_1_BHB_1&gt;0,catpn_1_BHV_47&gt;0),(dagenperjaar1*VLOOKUP(B6,dagsoorttabel1,2,FALSE))/(((dagenperjaar1*VLOOKUP(B6,dagsoorttabel1,2,FALSE))-catfd_1_BHV_47)/catpn_1_BHB_1+catfd_1_BHV_47/catpn_1_BHV_47),0)</f>
        <v>0</v>
      </c>
      <c r="H6" s="15" t="s">
        <v>41</v>
      </c>
      <c r="I6" s="32">
        <f>IF(AND(catpn_1_BHB_1&gt;0,catpn_1_BHV_47&gt;0),(cattf_1_BHB_1*((dagenperjaar1*VLOOKUP(B6,dagsoorttabel1,2,FALSE))-catfd_1_BHV_47)/catpn_1_BHB_1+cattf_1_BHV_47*catfd_1_BHV_47/catpn_1_BHV_47)/(((dagenperjaar1*VLOOKUP(B6,dagsoorttabel1,2,FALSE))-catfd_1_BHV_47)/catpn_1_BHB_1+catfd_1_BHV_47/catpn_1_BHV_47),0)</f>
        <v>0</v>
      </c>
      <c r="J6" s="30">
        <f t="shared" ref="J6:J30" si="1">IF(OR(ISBLANK(G6),G6=0),0,F6/ROUND(G6,4))</f>
        <v>0</v>
      </c>
      <c r="K6" s="32">
        <f t="shared" ref="K6:K35" si="2">ROUND(I6,2)*J6</f>
        <v>0</v>
      </c>
      <c r="L6" s="30">
        <f t="shared" ref="L6:L35" si="3">J6*dagenperjaar1</f>
        <v>0</v>
      </c>
      <c r="M6" s="32">
        <f t="shared" ref="M6:M35" si="4">L6*ROUND(I6,2)</f>
        <v>0</v>
      </c>
    </row>
    <row r="7" spans="1:13" x14ac:dyDescent="0.2">
      <c r="A7" s="20" t="s">
        <v>113</v>
      </c>
      <c r="B7" s="20" t="s">
        <v>11</v>
      </c>
      <c r="C7" s="20" t="s">
        <v>114</v>
      </c>
      <c r="D7" s="20" t="s">
        <v>116</v>
      </c>
      <c r="E7" s="33">
        <v>130.55000000000001</v>
      </c>
      <c r="F7" s="33">
        <f t="shared" si="0"/>
        <v>120.31078431372549</v>
      </c>
      <c r="G7" s="34">
        <f>IF(AND(catpn_1_BHB_1&gt;0,catpn_1_BHV_47&gt;0),(dagenperjaar1*VLOOKUP(B7,dagsoorttabel1,2,FALSE))/(((dagenperjaar1*VLOOKUP(B7,dagsoorttabel1,2,FALSE))-catfd_1_BHV_47)/catpn_1_BHB_1+catfd_1_BHV_47/catpn_1_BHV_47),0)</f>
        <v>0</v>
      </c>
      <c r="H7" s="20" t="s">
        <v>41</v>
      </c>
      <c r="I7" s="35">
        <f>IF(AND(catpn_1_BHB_1&gt;0,catpn_1_BHV_47&gt;0),(cattf_1_BHB_1*((dagenperjaar1*VLOOKUP(B7,dagsoorttabel1,2,FALSE))-catfd_1_BHV_47)/catpn_1_BHB_1+cattf_1_BHV_47*catfd_1_BHV_47/catpn_1_BHV_47)/(((dagenperjaar1*VLOOKUP(B7,dagsoorttabel1,2,FALSE))-catfd_1_BHV_47)/catpn_1_BHB_1+catfd_1_BHV_47/catpn_1_BHV_47),0)</f>
        <v>0</v>
      </c>
      <c r="J7" s="33">
        <f t="shared" si="1"/>
        <v>0</v>
      </c>
      <c r="K7" s="35">
        <f t="shared" si="2"/>
        <v>0</v>
      </c>
      <c r="L7" s="33">
        <f t="shared" si="3"/>
        <v>0</v>
      </c>
      <c r="M7" s="35">
        <f t="shared" si="4"/>
        <v>0</v>
      </c>
    </row>
    <row r="8" spans="1:13" x14ac:dyDescent="0.2">
      <c r="A8" s="20" t="s">
        <v>113</v>
      </c>
      <c r="B8" s="20" t="s">
        <v>10</v>
      </c>
      <c r="C8" s="20" t="s">
        <v>114</v>
      </c>
      <c r="D8" s="20" t="s">
        <v>116</v>
      </c>
      <c r="E8" s="33">
        <v>18.8</v>
      </c>
      <c r="F8" s="33">
        <f t="shared" si="0"/>
        <v>18.8</v>
      </c>
      <c r="G8" s="34">
        <f>IF(AND(catpn_1_BHB_1&gt;0,catpn_1_BHV_51&gt;0),(dagenperjaar1*VLOOKUP(B8,dagsoorttabel1,2,FALSE))/(((dagenperjaar1*VLOOKUP(B8,dagsoorttabel1,2,FALSE))-catfd_1_BHV_51)/catpn_1_BHB_1+catfd_1_BHV_51/catpn_1_BHV_51),0)</f>
        <v>0</v>
      </c>
      <c r="H8" s="20" t="s">
        <v>41</v>
      </c>
      <c r="I8" s="35">
        <f>IF(AND(catpn_1_BHB_1&gt;0,catpn_1_BHV_51&gt;0),(cattf_1_BHB_1*((dagenperjaar1*VLOOKUP(B8,dagsoorttabel1,2,FALSE))-catfd_1_BHV_51)/catpn_1_BHB_1+cattf_1_BHV_51*catfd_1_BHV_51/catpn_1_BHV_51)/(((dagenperjaar1*VLOOKUP(B8,dagsoorttabel1,2,FALSE))-catfd_1_BHV_51)/catpn_1_BHB_1+catfd_1_BHV_51/catpn_1_BHV_51),0)</f>
        <v>0</v>
      </c>
      <c r="J8" s="33">
        <f t="shared" si="1"/>
        <v>0</v>
      </c>
      <c r="K8" s="35">
        <f t="shared" si="2"/>
        <v>0</v>
      </c>
      <c r="L8" s="33">
        <f t="shared" si="3"/>
        <v>0</v>
      </c>
      <c r="M8" s="35">
        <f t="shared" si="4"/>
        <v>0</v>
      </c>
    </row>
    <row r="9" spans="1:13" x14ac:dyDescent="0.2">
      <c r="A9" s="20" t="s">
        <v>117</v>
      </c>
      <c r="B9" s="20" t="s">
        <v>11</v>
      </c>
      <c r="C9" s="20" t="s">
        <v>114</v>
      </c>
      <c r="D9" s="20" t="s">
        <v>118</v>
      </c>
      <c r="E9" s="33">
        <v>442.96</v>
      </c>
      <c r="F9" s="33">
        <f t="shared" si="0"/>
        <v>408.21803921568625</v>
      </c>
      <c r="G9" s="34">
        <f>IF(AND(catpn_1_DHB_1&gt;0,catpn_1_DHV_47&gt;0),(dagenperjaar1*VLOOKUP(B9,dagsoorttabel1,2,FALSE))/(((dagenperjaar1*VLOOKUP(B9,dagsoorttabel1,2,FALSE))-catfd_1_DHV_47)/catpn_1_DHB_1+catfd_1_DHV_47/catpn_1_DHV_47),0)</f>
        <v>0</v>
      </c>
      <c r="H9" s="20" t="s">
        <v>41</v>
      </c>
      <c r="I9" s="35">
        <f>IF(AND(catpn_1_DHB_1&gt;0,catpn_1_DHV_47&gt;0),(cattf_1_DHB_1*((dagenperjaar1*VLOOKUP(B9,dagsoorttabel1,2,FALSE))-catfd_1_DHV_47)/catpn_1_DHB_1+cattf_1_DHV_47*catfd_1_DHV_47/catpn_1_DHV_47)/(((dagenperjaar1*VLOOKUP(B9,dagsoorttabel1,2,FALSE))-catfd_1_DHV_47)/catpn_1_DHB_1+catfd_1_DHV_47/catpn_1_DHV_47),0)</f>
        <v>0</v>
      </c>
      <c r="J9" s="33">
        <f t="shared" si="1"/>
        <v>0</v>
      </c>
      <c r="K9" s="35">
        <f t="shared" si="2"/>
        <v>0</v>
      </c>
      <c r="L9" s="33">
        <f t="shared" si="3"/>
        <v>0</v>
      </c>
      <c r="M9" s="35">
        <f t="shared" si="4"/>
        <v>0</v>
      </c>
    </row>
    <row r="10" spans="1:13" x14ac:dyDescent="0.2">
      <c r="A10" s="20" t="s">
        <v>119</v>
      </c>
      <c r="B10" s="20" t="s">
        <v>11</v>
      </c>
      <c r="C10" s="20" t="s">
        <v>114</v>
      </c>
      <c r="D10" s="20" t="s">
        <v>120</v>
      </c>
      <c r="E10" s="33">
        <v>108.2</v>
      </c>
      <c r="F10" s="33">
        <f t="shared" si="0"/>
        <v>99.713725490196069</v>
      </c>
      <c r="G10" s="34">
        <f>IF(AND(catpn_1_EHB_1&gt;0,catpn_1_EHV_47&gt;0),(dagenperjaar1*VLOOKUP(B10,dagsoorttabel1,2,FALSE))/(((dagenperjaar1*VLOOKUP(B10,dagsoorttabel1,2,FALSE))-catfd_1_EHV_47)/catpn_1_EHB_1+catfd_1_EHV_47/catpn_1_EHV_47),0)</f>
        <v>0</v>
      </c>
      <c r="H10" s="20" t="s">
        <v>41</v>
      </c>
      <c r="I10" s="35">
        <f>IF(AND(catpn_1_EHB_1&gt;0,catpn_1_EHV_47&gt;0),(cattf_1_EHB_1*((dagenperjaar1*VLOOKUP(B10,dagsoorttabel1,2,FALSE))-catfd_1_EHV_47)/catpn_1_EHB_1+cattf_1_EHV_47*catfd_1_EHV_47/catpn_1_EHV_47)/(((dagenperjaar1*VLOOKUP(B10,dagsoorttabel1,2,FALSE))-catfd_1_EHV_47)/catpn_1_EHB_1+catfd_1_EHV_47/catpn_1_EHV_47),0)</f>
        <v>0</v>
      </c>
      <c r="J10" s="33">
        <f t="shared" si="1"/>
        <v>0</v>
      </c>
      <c r="K10" s="35">
        <f t="shared" si="2"/>
        <v>0</v>
      </c>
      <c r="L10" s="33">
        <f t="shared" si="3"/>
        <v>0</v>
      </c>
      <c r="M10" s="35">
        <f t="shared" si="4"/>
        <v>0</v>
      </c>
    </row>
    <row r="11" spans="1:13" x14ac:dyDescent="0.2">
      <c r="A11" s="20" t="s">
        <v>121</v>
      </c>
      <c r="B11" s="20" t="s">
        <v>11</v>
      </c>
      <c r="C11" s="20" t="s">
        <v>114</v>
      </c>
      <c r="D11" s="20" t="s">
        <v>122</v>
      </c>
      <c r="E11" s="33">
        <v>348.6</v>
      </c>
      <c r="F11" s="33">
        <f t="shared" si="0"/>
        <v>321.25882352941176</v>
      </c>
      <c r="G11" s="34">
        <f>IF(AND(catpn_1_GHB_1&gt;0,catpn_1_GHV_47&gt;0),(dagenperjaar1*VLOOKUP(B11,dagsoorttabel1,2,FALSE))/(((dagenperjaar1*VLOOKUP(B11,dagsoorttabel1,2,FALSE))-catfd_1_GHV_47)/catpn_1_GHB_1+catfd_1_GHV_47/catpn_1_GHV_47),0)</f>
        <v>0</v>
      </c>
      <c r="H11" s="20" t="s">
        <v>41</v>
      </c>
      <c r="I11" s="35">
        <f>IF(AND(catpn_1_GHB_1&gt;0,catpn_1_GHV_47&gt;0),(cattf_1_GHB_1*((dagenperjaar1*VLOOKUP(B11,dagsoorttabel1,2,FALSE))-catfd_1_GHV_47)/catpn_1_GHB_1+cattf_1_GHV_47*catfd_1_GHV_47/catpn_1_GHV_47)/(((dagenperjaar1*VLOOKUP(B11,dagsoorttabel1,2,FALSE))-catfd_1_GHV_47)/catpn_1_GHB_1+catfd_1_GHV_47/catpn_1_GHV_47),0)</f>
        <v>0</v>
      </c>
      <c r="J11" s="33">
        <f t="shared" si="1"/>
        <v>0</v>
      </c>
      <c r="K11" s="35">
        <f t="shared" si="2"/>
        <v>0</v>
      </c>
      <c r="L11" s="33">
        <f t="shared" si="3"/>
        <v>0</v>
      </c>
      <c r="M11" s="35">
        <f t="shared" si="4"/>
        <v>0</v>
      </c>
    </row>
    <row r="12" spans="1:13" x14ac:dyDescent="0.2">
      <c r="A12" s="20" t="s">
        <v>121</v>
      </c>
      <c r="B12" s="20" t="s">
        <v>20</v>
      </c>
      <c r="C12" s="20" t="s">
        <v>114</v>
      </c>
      <c r="D12" s="20" t="s">
        <v>122</v>
      </c>
      <c r="E12" s="33">
        <v>31.7</v>
      </c>
      <c r="F12" s="33">
        <f t="shared" si="0"/>
        <v>5.8427450980392157</v>
      </c>
      <c r="G12" s="34">
        <f>IF(AND(catpn_1_GHB_1&gt;0,catpn_1_GHV_47&gt;0),(dagenperjaar1*VLOOKUP(B12,dagsoorttabel1,2,FALSE))/(((dagenperjaar1*VLOOKUP(B12,dagsoorttabel1,2,FALSE))-catfd_1_GHV_47)/catpn_1_GHB_1+catfd_1_GHV_47/catpn_1_GHV_47),0)</f>
        <v>0</v>
      </c>
      <c r="H12" s="20" t="s">
        <v>41</v>
      </c>
      <c r="I12" s="35">
        <f>IF(AND(catpn_1_GHB_1&gt;0,catpn_1_GHV_47&gt;0),(cattf_1_GHB_1*((dagenperjaar1*VLOOKUP(B12,dagsoorttabel1,2,FALSE))-catfd_1_GHV_47)/catpn_1_GHB_1+cattf_1_GHV_47*catfd_1_GHV_47/catpn_1_GHV_47)/(((dagenperjaar1*VLOOKUP(B12,dagsoorttabel1,2,FALSE))-catfd_1_GHV_47)/catpn_1_GHB_1+catfd_1_GHV_47/catpn_1_GHV_47),0)</f>
        <v>0</v>
      </c>
      <c r="J12" s="33">
        <f t="shared" si="1"/>
        <v>0</v>
      </c>
      <c r="K12" s="35">
        <f t="shared" si="2"/>
        <v>0</v>
      </c>
      <c r="L12" s="33">
        <f t="shared" si="3"/>
        <v>0</v>
      </c>
      <c r="M12" s="35">
        <f t="shared" si="4"/>
        <v>0</v>
      </c>
    </row>
    <row r="13" spans="1:13" x14ac:dyDescent="0.2">
      <c r="A13" s="20" t="s">
        <v>123</v>
      </c>
      <c r="B13" s="20" t="s">
        <v>10</v>
      </c>
      <c r="C13" s="20" t="s">
        <v>114</v>
      </c>
      <c r="D13" s="20" t="s">
        <v>124</v>
      </c>
      <c r="E13" s="33">
        <v>2.6</v>
      </c>
      <c r="F13" s="33">
        <f t="shared" si="0"/>
        <v>2.6</v>
      </c>
      <c r="G13" s="34">
        <f>IF(AND(catpn_1_IHB_1&gt;0,catpn_1_IHV_51&gt;0),(dagenperjaar1*VLOOKUP(B13,dagsoorttabel1,2,FALSE))/(((dagenperjaar1*VLOOKUP(B13,dagsoorttabel1,2,FALSE))-catfd_1_IHV_51)/catpn_1_IHB_1+catfd_1_IHV_51/catpn_1_IHV_51),0)</f>
        <v>0</v>
      </c>
      <c r="H13" s="20" t="s">
        <v>41</v>
      </c>
      <c r="I13" s="35">
        <f>IF(AND(catpn_1_IHB_1&gt;0,catpn_1_IHV_51&gt;0),(cattf_1_IHB_1*((dagenperjaar1*VLOOKUP(B13,dagsoorttabel1,2,FALSE))-catfd_1_IHV_51)/catpn_1_IHB_1+cattf_1_IHV_51*catfd_1_IHV_51/catpn_1_IHV_51)/(((dagenperjaar1*VLOOKUP(B13,dagsoorttabel1,2,FALSE))-catfd_1_IHV_51)/catpn_1_IHB_1+catfd_1_IHV_51/catpn_1_IHV_51),0)</f>
        <v>0</v>
      </c>
      <c r="J13" s="33">
        <f t="shared" si="1"/>
        <v>0</v>
      </c>
      <c r="K13" s="35">
        <f t="shared" si="2"/>
        <v>0</v>
      </c>
      <c r="L13" s="33">
        <f t="shared" si="3"/>
        <v>0</v>
      </c>
      <c r="M13" s="35">
        <f t="shared" si="4"/>
        <v>0</v>
      </c>
    </row>
    <row r="14" spans="1:13" x14ac:dyDescent="0.2">
      <c r="A14" s="20" t="s">
        <v>125</v>
      </c>
      <c r="B14" s="20" t="s">
        <v>11</v>
      </c>
      <c r="C14" s="20" t="s">
        <v>114</v>
      </c>
      <c r="D14" s="20" t="s">
        <v>126</v>
      </c>
      <c r="E14" s="33">
        <v>27.3</v>
      </c>
      <c r="F14" s="33">
        <f t="shared" si="0"/>
        <v>25.158823529411762</v>
      </c>
      <c r="G14" s="34">
        <f>IF(AND(catpn_1_KHB_1&gt;0,catpn_1_KHV_47&gt;0),(dagenperjaar1*VLOOKUP(B14,dagsoorttabel1,2,FALSE))/(((dagenperjaar1*VLOOKUP(B14,dagsoorttabel1,2,FALSE))-catfd_1_KHV_47)/catpn_1_KHB_1+catfd_1_KHV_47/catpn_1_KHV_47),0)</f>
        <v>0</v>
      </c>
      <c r="H14" s="20" t="s">
        <v>41</v>
      </c>
      <c r="I14" s="35">
        <f>IF(AND(catpn_1_KHB_1&gt;0,catpn_1_KHV_47&gt;0),(cattf_1_KHB_1*((dagenperjaar1*VLOOKUP(B14,dagsoorttabel1,2,FALSE))-catfd_1_KHV_47)/catpn_1_KHB_1+cattf_1_KHV_47*catfd_1_KHV_47/catpn_1_KHV_47)/(((dagenperjaar1*VLOOKUP(B14,dagsoorttabel1,2,FALSE))-catfd_1_KHV_47)/catpn_1_KHB_1+catfd_1_KHV_47/catpn_1_KHV_47),0)</f>
        <v>0</v>
      </c>
      <c r="J14" s="33">
        <f t="shared" si="1"/>
        <v>0</v>
      </c>
      <c r="K14" s="35">
        <f t="shared" si="2"/>
        <v>0</v>
      </c>
      <c r="L14" s="33">
        <f t="shared" si="3"/>
        <v>0</v>
      </c>
      <c r="M14" s="35">
        <f t="shared" si="4"/>
        <v>0</v>
      </c>
    </row>
    <row r="15" spans="1:13" x14ac:dyDescent="0.2">
      <c r="A15" s="20" t="s">
        <v>127</v>
      </c>
      <c r="B15" s="20" t="s">
        <v>11</v>
      </c>
      <c r="C15" s="20" t="s">
        <v>114</v>
      </c>
      <c r="D15" s="20" t="s">
        <v>128</v>
      </c>
      <c r="E15" s="33">
        <v>1764.9</v>
      </c>
      <c r="F15" s="33">
        <f t="shared" si="0"/>
        <v>1626.4764705882353</v>
      </c>
      <c r="G15" s="34">
        <f>IF(AND(catpn_1_LHB_1&gt;0,catpn_1_LHV_47&gt;0),(dagenperjaar1*VLOOKUP(B15,dagsoorttabel1,2,FALSE))/(((dagenperjaar1*VLOOKUP(B15,dagsoorttabel1,2,FALSE))-catfd_1_LHV_47)/catpn_1_LHB_1+catfd_1_LHV_47/catpn_1_LHV_47),0)</f>
        <v>0</v>
      </c>
      <c r="H15" s="20" t="s">
        <v>41</v>
      </c>
      <c r="I15" s="35">
        <f>IF(AND(catpn_1_LHB_1&gt;0,catpn_1_LHV_47&gt;0),(cattf_1_LHB_1*((dagenperjaar1*VLOOKUP(B15,dagsoorttabel1,2,FALSE))-catfd_1_LHV_47)/catpn_1_LHB_1+cattf_1_LHV_47*catfd_1_LHV_47/catpn_1_LHV_47)/(((dagenperjaar1*VLOOKUP(B15,dagsoorttabel1,2,FALSE))-catfd_1_LHV_47)/catpn_1_LHB_1+catfd_1_LHV_47/catpn_1_LHV_47),0)</f>
        <v>0</v>
      </c>
      <c r="J15" s="33">
        <f t="shared" si="1"/>
        <v>0</v>
      </c>
      <c r="K15" s="35">
        <f t="shared" si="2"/>
        <v>0</v>
      </c>
      <c r="L15" s="33">
        <f t="shared" si="3"/>
        <v>0</v>
      </c>
      <c r="M15" s="35">
        <f t="shared" si="4"/>
        <v>0</v>
      </c>
    </row>
    <row r="16" spans="1:13" x14ac:dyDescent="0.2">
      <c r="A16" s="20" t="s">
        <v>129</v>
      </c>
      <c r="B16" s="20" t="s">
        <v>10</v>
      </c>
      <c r="C16" s="20" t="s">
        <v>114</v>
      </c>
      <c r="D16" s="20" t="s">
        <v>130</v>
      </c>
      <c r="E16" s="33">
        <v>50</v>
      </c>
      <c r="F16" s="33">
        <f t="shared" si="0"/>
        <v>50</v>
      </c>
      <c r="G16" s="34">
        <f>IF(AND(catpn_1_LZV_1&gt;0,catpn_1_LZV_51&gt;0),(dagenperjaar1*VLOOKUP(B16,dagsoorttabel1,2,FALSE))/(((dagenperjaar1*VLOOKUP(B16,dagsoorttabel1,2,FALSE))-catfd_1_LZV_51)/catpn_1_LZV_1+catfd_1_LZV_51/catpn_1_LZV_51),0)</f>
        <v>0</v>
      </c>
      <c r="H16" s="20" t="s">
        <v>41</v>
      </c>
      <c r="I16" s="35">
        <f>IF(AND(catpn_1_LZV_1&gt;0,catpn_1_LZV_51&gt;0),(cattf_1_LZV_1*((dagenperjaar1*VLOOKUP(B16,dagsoorttabel1,2,FALSE))-catfd_1_LZV_51)/catpn_1_LZV_1+cattf_1_LZV_51*catfd_1_LZV_51/catpn_1_LZV_51)/(((dagenperjaar1*VLOOKUP(B16,dagsoorttabel1,2,FALSE))-catfd_1_LZV_51)/catpn_1_LZV_1+catfd_1_LZV_51/catpn_1_LZV_51),0)</f>
        <v>0</v>
      </c>
      <c r="J16" s="33">
        <f t="shared" si="1"/>
        <v>0</v>
      </c>
      <c r="K16" s="35">
        <f t="shared" si="2"/>
        <v>0</v>
      </c>
      <c r="L16" s="33">
        <f t="shared" si="3"/>
        <v>0</v>
      </c>
      <c r="M16" s="35">
        <f t="shared" si="4"/>
        <v>0</v>
      </c>
    </row>
    <row r="17" spans="1:13" x14ac:dyDescent="0.2">
      <c r="A17" s="20" t="s">
        <v>131</v>
      </c>
      <c r="B17" s="20" t="s">
        <v>10</v>
      </c>
      <c r="C17" s="20" t="s">
        <v>114</v>
      </c>
      <c r="D17" s="20" t="s">
        <v>132</v>
      </c>
      <c r="E17" s="33">
        <v>17.399999999999999</v>
      </c>
      <c r="F17" s="33">
        <f t="shared" si="0"/>
        <v>17.399999999999999</v>
      </c>
      <c r="G17" s="34">
        <f>IF(AND(catpn_1_PHB_1&gt;0,catpn_1_PHV_51&gt;0),(dagenperjaar1*VLOOKUP(B17,dagsoorttabel1,2,FALSE))/(((dagenperjaar1*VLOOKUP(B17,dagsoorttabel1,2,FALSE))-catfd_1_PHV_51)/catpn_1_PHB_1+catfd_1_PHV_51/catpn_1_PHV_51),0)</f>
        <v>0</v>
      </c>
      <c r="H17" s="20" t="s">
        <v>41</v>
      </c>
      <c r="I17" s="35">
        <f>IF(AND(catpn_1_PHB_1&gt;0,catpn_1_PHV_51&gt;0),(cattf_1_PHB_1*((dagenperjaar1*VLOOKUP(B17,dagsoorttabel1,2,FALSE))-catfd_1_PHV_51)/catpn_1_PHB_1+cattf_1_PHV_51*catfd_1_PHV_51/catpn_1_PHV_51)/(((dagenperjaar1*VLOOKUP(B17,dagsoorttabel1,2,FALSE))-catfd_1_PHV_51)/catpn_1_PHB_1+catfd_1_PHV_51/catpn_1_PHV_51),0)</f>
        <v>0</v>
      </c>
      <c r="J17" s="33">
        <f t="shared" si="1"/>
        <v>0</v>
      </c>
      <c r="K17" s="35">
        <f t="shared" si="2"/>
        <v>0</v>
      </c>
      <c r="L17" s="33">
        <f t="shared" si="3"/>
        <v>0</v>
      </c>
      <c r="M17" s="35">
        <f t="shared" si="4"/>
        <v>0</v>
      </c>
    </row>
    <row r="18" spans="1:13" x14ac:dyDescent="0.2">
      <c r="A18" s="20" t="s">
        <v>133</v>
      </c>
      <c r="B18" s="20" t="s">
        <v>11</v>
      </c>
      <c r="C18" s="20" t="s">
        <v>114</v>
      </c>
      <c r="D18" s="20" t="s">
        <v>134</v>
      </c>
      <c r="E18" s="33">
        <v>354</v>
      </c>
      <c r="F18" s="33">
        <f t="shared" si="0"/>
        <v>326.23529411764702</v>
      </c>
      <c r="G18" s="34">
        <f>IF(AND(catpn_1_PUHB_1&gt;0,catpn_1_PUHV_47&gt;0),(dagenperjaar1*VLOOKUP(B18,dagsoorttabel1,2,FALSE))/(((dagenperjaar1*VLOOKUP(B18,dagsoorttabel1,2,FALSE))-catfd_1_PUHV_47)/catpn_1_PUHB_1+catfd_1_PUHV_47/catpn_1_PUHV_47),0)</f>
        <v>0</v>
      </c>
      <c r="H18" s="20" t="s">
        <v>41</v>
      </c>
      <c r="I18" s="35">
        <f>IF(AND(catpn_1_PUHB_1&gt;0,catpn_1_PUHV_47&gt;0),(cattf_1_PUHB_1*((dagenperjaar1*VLOOKUP(B18,dagsoorttabel1,2,FALSE))-catfd_1_PUHV_47)/catpn_1_PUHB_1+cattf_1_PUHV_47*catfd_1_PUHV_47/catpn_1_PUHV_47)/(((dagenperjaar1*VLOOKUP(B18,dagsoorttabel1,2,FALSE))-catfd_1_PUHV_47)/catpn_1_PUHB_1+catfd_1_PUHV_47/catpn_1_PUHV_47),0)</f>
        <v>0</v>
      </c>
      <c r="J18" s="33">
        <f t="shared" si="1"/>
        <v>0</v>
      </c>
      <c r="K18" s="35">
        <f t="shared" si="2"/>
        <v>0</v>
      </c>
      <c r="L18" s="33">
        <f t="shared" si="3"/>
        <v>0</v>
      </c>
      <c r="M18" s="35">
        <f t="shared" si="4"/>
        <v>0</v>
      </c>
    </row>
    <row r="19" spans="1:13" x14ac:dyDescent="0.2">
      <c r="A19" s="20" t="s">
        <v>135</v>
      </c>
      <c r="B19" s="20" t="s">
        <v>11</v>
      </c>
      <c r="C19" s="20" t="s">
        <v>114</v>
      </c>
      <c r="D19" s="20" t="s">
        <v>136</v>
      </c>
      <c r="E19" s="33">
        <v>405.1</v>
      </c>
      <c r="F19" s="33">
        <f t="shared" si="0"/>
        <v>373.32745098039214</v>
      </c>
      <c r="G19" s="34">
        <f>IF(AND(catpn_1_RHB_1&gt;0,catpn_1_RHV_47&gt;0),(dagenperjaar1*VLOOKUP(B19,dagsoorttabel1,2,FALSE))/(((dagenperjaar1*VLOOKUP(B19,dagsoorttabel1,2,FALSE))-catfd_1_RHV_47)/catpn_1_RHB_1+catfd_1_RHV_47/catpn_1_RHV_47),0)</f>
        <v>0</v>
      </c>
      <c r="H19" s="20" t="s">
        <v>41</v>
      </c>
      <c r="I19" s="35">
        <f>IF(AND(catpn_1_RHB_1&gt;0,catpn_1_RHV_47&gt;0),(cattf_1_RHB_1*((dagenperjaar1*VLOOKUP(B19,dagsoorttabel1,2,FALSE))-catfd_1_RHV_47)/catpn_1_RHB_1+cattf_1_RHV_47*catfd_1_RHV_47/catpn_1_RHV_47)/(((dagenperjaar1*VLOOKUP(B19,dagsoorttabel1,2,FALSE))-catfd_1_RHV_47)/catpn_1_RHB_1+catfd_1_RHV_47/catpn_1_RHV_47),0)</f>
        <v>0</v>
      </c>
      <c r="J19" s="33">
        <f t="shared" si="1"/>
        <v>0</v>
      </c>
      <c r="K19" s="35">
        <f t="shared" si="2"/>
        <v>0</v>
      </c>
      <c r="L19" s="33">
        <f t="shared" si="3"/>
        <v>0</v>
      </c>
      <c r="M19" s="35">
        <f t="shared" si="4"/>
        <v>0</v>
      </c>
    </row>
    <row r="20" spans="1:13" x14ac:dyDescent="0.2">
      <c r="A20" s="20" t="s">
        <v>135</v>
      </c>
      <c r="B20" s="20" t="s">
        <v>24</v>
      </c>
      <c r="C20" s="20" t="s">
        <v>114</v>
      </c>
      <c r="D20" s="20" t="s">
        <v>136</v>
      </c>
      <c r="E20" s="33">
        <v>555.73</v>
      </c>
      <c r="F20" s="33">
        <f t="shared" si="0"/>
        <v>13.076000000000001</v>
      </c>
      <c r="G20" s="34">
        <f>catpn_1_RHV_6</f>
        <v>0</v>
      </c>
      <c r="H20" s="20" t="s">
        <v>41</v>
      </c>
      <c r="I20" s="35">
        <f>cattf_1_RHV_6</f>
        <v>0</v>
      </c>
      <c r="J20" s="33">
        <f t="shared" si="1"/>
        <v>0</v>
      </c>
      <c r="K20" s="35">
        <f t="shared" si="2"/>
        <v>0</v>
      </c>
      <c r="L20" s="33">
        <f t="shared" si="3"/>
        <v>0</v>
      </c>
      <c r="M20" s="35">
        <f t="shared" si="4"/>
        <v>0</v>
      </c>
    </row>
    <row r="21" spans="1:13" x14ac:dyDescent="0.2">
      <c r="A21" s="20" t="s">
        <v>137</v>
      </c>
      <c r="B21" s="20" t="s">
        <v>11</v>
      </c>
      <c r="C21" s="20" t="s">
        <v>114</v>
      </c>
      <c r="D21" s="20" t="s">
        <v>138</v>
      </c>
      <c r="E21" s="33">
        <v>334.91999999999996</v>
      </c>
      <c r="F21" s="33">
        <f t="shared" si="0"/>
        <v>308.65176470588227</v>
      </c>
      <c r="G21" s="34">
        <f>IF(AND(catpn_1_SHB_1&gt;0,catpn_1_SHV_47&gt;0),(dagenperjaar1*VLOOKUP(B21,dagsoorttabel1,2,FALSE))/(((dagenperjaar1*VLOOKUP(B21,dagsoorttabel1,2,FALSE))-catfd_1_SHV_47)/catpn_1_SHB_1+catfd_1_SHV_47/catpn_1_SHV_47),0)</f>
        <v>0</v>
      </c>
      <c r="H21" s="20" t="s">
        <v>41</v>
      </c>
      <c r="I21" s="35">
        <f>IF(AND(catpn_1_SHB_1&gt;0,catpn_1_SHV_47&gt;0),(cattf_1_SHB_1*((dagenperjaar1*VLOOKUP(B21,dagsoorttabel1,2,FALSE))-catfd_1_SHV_47)/catpn_1_SHB_1+cattf_1_SHV_47*catfd_1_SHV_47/catpn_1_SHV_47)/(((dagenperjaar1*VLOOKUP(B21,dagsoorttabel1,2,FALSE))-catfd_1_SHV_47)/catpn_1_SHB_1+catfd_1_SHV_47/catpn_1_SHV_47),0)</f>
        <v>0</v>
      </c>
      <c r="J21" s="33">
        <f t="shared" si="1"/>
        <v>0</v>
      </c>
      <c r="K21" s="35">
        <f t="shared" si="2"/>
        <v>0</v>
      </c>
      <c r="L21" s="33">
        <f t="shared" si="3"/>
        <v>0</v>
      </c>
      <c r="M21" s="35">
        <f t="shared" si="4"/>
        <v>0</v>
      </c>
    </row>
    <row r="22" spans="1:13" x14ac:dyDescent="0.2">
      <c r="A22" s="20" t="s">
        <v>137</v>
      </c>
      <c r="B22" s="20" t="s">
        <v>10</v>
      </c>
      <c r="C22" s="20" t="s">
        <v>114</v>
      </c>
      <c r="D22" s="20" t="s">
        <v>138</v>
      </c>
      <c r="E22" s="33">
        <v>83.199999999999989</v>
      </c>
      <c r="F22" s="33">
        <f t="shared" si="0"/>
        <v>83.199999999999989</v>
      </c>
      <c r="G22" s="34">
        <f>IF(AND(catpn_1_SHB_1&gt;0,catpn_1_SHV_51&gt;0),(dagenperjaar1*VLOOKUP(B22,dagsoorttabel1,2,FALSE))/(((dagenperjaar1*VLOOKUP(B22,dagsoorttabel1,2,FALSE))-catfd_1_SHV_51)/catpn_1_SHB_1+catfd_1_SHV_51/catpn_1_SHV_51),0)</f>
        <v>0</v>
      </c>
      <c r="H22" s="20" t="s">
        <v>41</v>
      </c>
      <c r="I22" s="35">
        <f>IF(AND(catpn_1_SHB_1&gt;0,catpn_1_SHV_51&gt;0),(cattf_1_SHB_1*((dagenperjaar1*VLOOKUP(B22,dagsoorttabel1,2,FALSE))-catfd_1_SHV_51)/catpn_1_SHB_1+cattf_1_SHV_51*catfd_1_SHV_51/catpn_1_SHV_51)/(((dagenperjaar1*VLOOKUP(B22,dagsoorttabel1,2,FALSE))-catfd_1_SHV_51)/catpn_1_SHB_1+catfd_1_SHV_51/catpn_1_SHV_51),0)</f>
        <v>0</v>
      </c>
      <c r="J22" s="33">
        <f t="shared" si="1"/>
        <v>0</v>
      </c>
      <c r="K22" s="35">
        <f t="shared" si="2"/>
        <v>0</v>
      </c>
      <c r="L22" s="33">
        <f t="shared" si="3"/>
        <v>0</v>
      </c>
      <c r="M22" s="35">
        <f t="shared" si="4"/>
        <v>0</v>
      </c>
    </row>
    <row r="23" spans="1:13" x14ac:dyDescent="0.2">
      <c r="A23" s="20" t="s">
        <v>139</v>
      </c>
      <c r="B23" s="20" t="s">
        <v>10</v>
      </c>
      <c r="C23" s="20" t="s">
        <v>114</v>
      </c>
      <c r="D23" s="20" t="s">
        <v>140</v>
      </c>
      <c r="E23" s="33">
        <v>14.2</v>
      </c>
      <c r="F23" s="33">
        <f t="shared" si="0"/>
        <v>14.2</v>
      </c>
      <c r="G23" s="34">
        <f>catpn_1_SHB_1</f>
        <v>0</v>
      </c>
      <c r="H23" s="20" t="s">
        <v>41</v>
      </c>
      <c r="I23" s="35">
        <f>cattf_1_SHB_1</f>
        <v>0</v>
      </c>
      <c r="J23" s="33">
        <f t="shared" si="1"/>
        <v>0</v>
      </c>
      <c r="K23" s="35">
        <f t="shared" si="2"/>
        <v>0</v>
      </c>
      <c r="L23" s="33">
        <f t="shared" si="3"/>
        <v>0</v>
      </c>
      <c r="M23" s="35">
        <f t="shared" si="4"/>
        <v>0</v>
      </c>
    </row>
    <row r="24" spans="1:13" x14ac:dyDescent="0.2">
      <c r="A24" s="20" t="s">
        <v>141</v>
      </c>
      <c r="B24" s="20" t="s">
        <v>11</v>
      </c>
      <c r="C24" s="20" t="s">
        <v>114</v>
      </c>
      <c r="D24" s="20" t="s">
        <v>142</v>
      </c>
      <c r="E24" s="33">
        <v>226.12</v>
      </c>
      <c r="F24" s="33">
        <f t="shared" si="0"/>
        <v>208.38509803921568</v>
      </c>
      <c r="G24" s="34">
        <f>IF(AND(catpn_1_THB_1&gt;0,catpn_1_THV_47&gt;0),(dagenperjaar1*VLOOKUP(B24,dagsoorttabel1,2,FALSE))/(((dagenperjaar1*VLOOKUP(B24,dagsoorttabel1,2,FALSE))-catfd_1_THV_47)/catpn_1_THB_1+catfd_1_THV_47/catpn_1_THV_47),0)</f>
        <v>0</v>
      </c>
      <c r="H24" s="20" t="s">
        <v>41</v>
      </c>
      <c r="I24" s="35">
        <f>IF(AND(catpn_1_THB_1&gt;0,catpn_1_THV_47&gt;0),(cattf_1_THB_1*((dagenperjaar1*VLOOKUP(B24,dagsoorttabel1,2,FALSE))-catfd_1_THV_47)/catpn_1_THB_1+cattf_1_THV_47*catfd_1_THV_47/catpn_1_THV_47)/(((dagenperjaar1*VLOOKUP(B24,dagsoorttabel1,2,FALSE))-catfd_1_THV_47)/catpn_1_THB_1+catfd_1_THV_47/catpn_1_THV_47),0)</f>
        <v>0</v>
      </c>
      <c r="J24" s="33">
        <f t="shared" si="1"/>
        <v>0</v>
      </c>
      <c r="K24" s="35">
        <f t="shared" si="2"/>
        <v>0</v>
      </c>
      <c r="L24" s="33">
        <f t="shared" si="3"/>
        <v>0</v>
      </c>
      <c r="M24" s="35">
        <f t="shared" si="4"/>
        <v>0</v>
      </c>
    </row>
    <row r="25" spans="1:13" x14ac:dyDescent="0.2">
      <c r="A25" s="20" t="s">
        <v>141</v>
      </c>
      <c r="B25" s="20" t="s">
        <v>10</v>
      </c>
      <c r="C25" s="20" t="s">
        <v>114</v>
      </c>
      <c r="D25" s="20" t="s">
        <v>142</v>
      </c>
      <c r="E25" s="33">
        <v>208.70000000000002</v>
      </c>
      <c r="F25" s="33">
        <f t="shared" si="0"/>
        <v>208.70000000000002</v>
      </c>
      <c r="G25" s="34">
        <f>IF(AND(catpn_1_THB_1&gt;0,catpn_1_THV_51&gt;0),(dagenperjaar1*VLOOKUP(B25,dagsoorttabel1,2,FALSE))/(((dagenperjaar1*VLOOKUP(B25,dagsoorttabel1,2,FALSE))-catfd_1_THV_51)/catpn_1_THB_1+catfd_1_THV_51/catpn_1_THV_51),0)</f>
        <v>0</v>
      </c>
      <c r="H25" s="20" t="s">
        <v>41</v>
      </c>
      <c r="I25" s="35">
        <f>IF(AND(catpn_1_THB_1&gt;0,catpn_1_THV_51&gt;0),(cattf_1_THB_1*((dagenperjaar1*VLOOKUP(B25,dagsoorttabel1,2,FALSE))-catfd_1_THV_51)/catpn_1_THB_1+cattf_1_THV_51*catfd_1_THV_51/catpn_1_THV_51)/(((dagenperjaar1*VLOOKUP(B25,dagsoorttabel1,2,FALSE))-catfd_1_THV_51)/catpn_1_THB_1+catfd_1_THV_51/catpn_1_THV_51),0)</f>
        <v>0</v>
      </c>
      <c r="J25" s="33">
        <f t="shared" si="1"/>
        <v>0</v>
      </c>
      <c r="K25" s="35">
        <f t="shared" si="2"/>
        <v>0</v>
      </c>
      <c r="L25" s="33">
        <f t="shared" si="3"/>
        <v>0</v>
      </c>
      <c r="M25" s="35">
        <f t="shared" si="4"/>
        <v>0</v>
      </c>
    </row>
    <row r="26" spans="1:13" x14ac:dyDescent="0.2">
      <c r="A26" s="20" t="s">
        <v>143</v>
      </c>
      <c r="B26" s="20" t="s">
        <v>11</v>
      </c>
      <c r="C26" s="20" t="s">
        <v>114</v>
      </c>
      <c r="D26" s="20" t="s">
        <v>144</v>
      </c>
      <c r="E26" s="33">
        <v>1289.9999999999998</v>
      </c>
      <c r="F26" s="33">
        <f t="shared" si="0"/>
        <v>1188.8235294117644</v>
      </c>
      <c r="G26" s="34">
        <f>IF(AND(catpn_1_VHB_1&gt;0,catpn_1_VHV_47&gt;0),(dagenperjaar1*VLOOKUP(B26,dagsoorttabel1,2,FALSE))/(((dagenperjaar1*VLOOKUP(B26,dagsoorttabel1,2,FALSE))-catfd_1_VHV_47)/catpn_1_VHB_1+catfd_1_VHV_47/catpn_1_VHV_47),0)</f>
        <v>0</v>
      </c>
      <c r="H26" s="20" t="s">
        <v>41</v>
      </c>
      <c r="I26" s="35">
        <f>IF(AND(catpn_1_VHB_1&gt;0,catpn_1_VHV_47&gt;0),(cattf_1_VHB_1*((dagenperjaar1*VLOOKUP(B26,dagsoorttabel1,2,FALSE))-catfd_1_VHV_47)/catpn_1_VHB_1+cattf_1_VHV_47*catfd_1_VHV_47/catpn_1_VHV_47)/(((dagenperjaar1*VLOOKUP(B26,dagsoorttabel1,2,FALSE))-catfd_1_VHV_47)/catpn_1_VHB_1+catfd_1_VHV_47/catpn_1_VHV_47),0)</f>
        <v>0</v>
      </c>
      <c r="J26" s="33">
        <f t="shared" si="1"/>
        <v>0</v>
      </c>
      <c r="K26" s="35">
        <f t="shared" si="2"/>
        <v>0</v>
      </c>
      <c r="L26" s="33">
        <f t="shared" si="3"/>
        <v>0</v>
      </c>
      <c r="M26" s="35">
        <f t="shared" si="4"/>
        <v>0</v>
      </c>
    </row>
    <row r="27" spans="1:13" x14ac:dyDescent="0.2">
      <c r="A27" s="20" t="s">
        <v>143</v>
      </c>
      <c r="B27" s="20" t="s">
        <v>10</v>
      </c>
      <c r="C27" s="20" t="s">
        <v>114</v>
      </c>
      <c r="D27" s="20" t="s">
        <v>144</v>
      </c>
      <c r="E27" s="33">
        <v>1094</v>
      </c>
      <c r="F27" s="33">
        <f t="shared" si="0"/>
        <v>1094</v>
      </c>
      <c r="G27" s="34">
        <f>IF(AND(catpn_1_VHB_1&gt;0,catpn_1_VHV_51&gt;0),(dagenperjaar1*VLOOKUP(B27,dagsoorttabel1,2,FALSE))/(((dagenperjaar1*VLOOKUP(B27,dagsoorttabel1,2,FALSE))-catfd_1_VHV_51)/catpn_1_VHB_1+catfd_1_VHV_51/catpn_1_VHV_51),0)</f>
        <v>0</v>
      </c>
      <c r="H27" s="20" t="s">
        <v>41</v>
      </c>
      <c r="I27" s="35">
        <f>IF(AND(catpn_1_VHB_1&gt;0,catpn_1_VHV_51&gt;0),(cattf_1_VHB_1*((dagenperjaar1*VLOOKUP(B27,dagsoorttabel1,2,FALSE))-catfd_1_VHV_51)/catpn_1_VHB_1+cattf_1_VHV_51*catfd_1_VHV_51/catpn_1_VHV_51)/(((dagenperjaar1*VLOOKUP(B27,dagsoorttabel1,2,FALSE))-catfd_1_VHV_51)/catpn_1_VHB_1+catfd_1_VHV_51/catpn_1_VHV_51),0)</f>
        <v>0</v>
      </c>
      <c r="J27" s="33">
        <f t="shared" si="1"/>
        <v>0</v>
      </c>
      <c r="K27" s="35">
        <f t="shared" si="2"/>
        <v>0</v>
      </c>
      <c r="L27" s="33">
        <f t="shared" si="3"/>
        <v>0</v>
      </c>
      <c r="M27" s="35">
        <f t="shared" si="4"/>
        <v>0</v>
      </c>
    </row>
    <row r="28" spans="1:13" x14ac:dyDescent="0.2">
      <c r="A28" s="20" t="s">
        <v>145</v>
      </c>
      <c r="B28" s="20" t="s">
        <v>11</v>
      </c>
      <c r="C28" s="20" t="s">
        <v>114</v>
      </c>
      <c r="D28" s="20" t="s">
        <v>146</v>
      </c>
      <c r="E28" s="33">
        <v>18</v>
      </c>
      <c r="F28" s="33">
        <f t="shared" si="0"/>
        <v>16.588235294117645</v>
      </c>
      <c r="G28" s="34">
        <f>IF(AND(catpn_1_VZB_1&gt;0,catpn_1_VZV_47&gt;0),(dagenperjaar1*VLOOKUP(B28,dagsoorttabel1,2,FALSE))/(((dagenperjaar1*VLOOKUP(B28,dagsoorttabel1,2,FALSE))-catfd_1_VZV_47)/catpn_1_VZB_1+catfd_1_VZV_47/catpn_1_VZV_47),0)</f>
        <v>0</v>
      </c>
      <c r="H28" s="20" t="s">
        <v>41</v>
      </c>
      <c r="I28" s="35">
        <f>IF(AND(catpn_1_VZB_1&gt;0,catpn_1_VZV_47&gt;0),(cattf_1_VZB_1*((dagenperjaar1*VLOOKUP(B28,dagsoorttabel1,2,FALSE))-catfd_1_VZV_47)/catpn_1_VZB_1+cattf_1_VZV_47*catfd_1_VZV_47/catpn_1_VZV_47)/(((dagenperjaar1*VLOOKUP(B28,dagsoorttabel1,2,FALSE))-catfd_1_VZV_47)/catpn_1_VZB_1+catfd_1_VZV_47/catpn_1_VZV_47),0)</f>
        <v>0</v>
      </c>
      <c r="J28" s="33">
        <f t="shared" si="1"/>
        <v>0</v>
      </c>
      <c r="K28" s="35">
        <f t="shared" si="2"/>
        <v>0</v>
      </c>
      <c r="L28" s="33">
        <f t="shared" si="3"/>
        <v>0</v>
      </c>
      <c r="M28" s="35">
        <f t="shared" si="4"/>
        <v>0</v>
      </c>
    </row>
    <row r="29" spans="1:13" x14ac:dyDescent="0.2">
      <c r="A29" s="20" t="s">
        <v>147</v>
      </c>
      <c r="B29" s="20" t="s">
        <v>28</v>
      </c>
      <c r="C29" s="20" t="s">
        <v>148</v>
      </c>
      <c r="D29" s="20" t="s">
        <v>149</v>
      </c>
      <c r="E29" s="33">
        <v>976.7</v>
      </c>
      <c r="F29" s="33">
        <f t="shared" si="0"/>
        <v>3.8301960784313729</v>
      </c>
      <c r="G29" s="34">
        <f>catpn_1_XBV_1</f>
        <v>0</v>
      </c>
      <c r="H29" s="20" t="s">
        <v>41</v>
      </c>
      <c r="I29" s="35">
        <f>cattf_1_XBV_1</f>
        <v>0</v>
      </c>
      <c r="J29" s="33">
        <f t="shared" si="1"/>
        <v>0</v>
      </c>
      <c r="K29" s="35">
        <f t="shared" si="2"/>
        <v>0</v>
      </c>
      <c r="L29" s="33">
        <f t="shared" si="3"/>
        <v>0</v>
      </c>
      <c r="M29" s="35">
        <f t="shared" si="4"/>
        <v>0</v>
      </c>
    </row>
    <row r="30" spans="1:13" x14ac:dyDescent="0.2">
      <c r="A30" s="20" t="s">
        <v>150</v>
      </c>
      <c r="B30" s="20" t="s">
        <v>28</v>
      </c>
      <c r="C30" s="20" t="s">
        <v>151</v>
      </c>
      <c r="D30" s="20" t="s">
        <v>152</v>
      </c>
      <c r="E30" s="33">
        <v>816</v>
      </c>
      <c r="F30" s="33">
        <f t="shared" si="0"/>
        <v>3.2</v>
      </c>
      <c r="G30" s="36"/>
      <c r="H30" s="20" t="s">
        <v>41</v>
      </c>
      <c r="I30" s="24"/>
      <c r="J30" s="33">
        <f t="shared" si="1"/>
        <v>0</v>
      </c>
      <c r="K30" s="35">
        <f t="shared" si="2"/>
        <v>0</v>
      </c>
      <c r="L30" s="33">
        <f t="shared" si="3"/>
        <v>0</v>
      </c>
      <c r="M30" s="35">
        <f t="shared" si="4"/>
        <v>0</v>
      </c>
    </row>
    <row r="31" spans="1:13" x14ac:dyDescent="0.2">
      <c r="A31" s="20" t="s">
        <v>153</v>
      </c>
      <c r="B31" s="20" t="s">
        <v>24</v>
      </c>
      <c r="C31" s="20" t="s">
        <v>151</v>
      </c>
      <c r="D31" s="20" t="s">
        <v>154</v>
      </c>
      <c r="E31" s="33">
        <v>48</v>
      </c>
      <c r="F31" s="33">
        <f t="shared" si="0"/>
        <v>1.1294117647058823</v>
      </c>
      <c r="G31" s="36"/>
      <c r="H31" s="20" t="s">
        <v>155</v>
      </c>
      <c r="I31" s="24"/>
      <c r="J31" s="33">
        <f>F31*ROUND(G31,4)/60</f>
        <v>0</v>
      </c>
      <c r="K31" s="35">
        <f t="shared" si="2"/>
        <v>0</v>
      </c>
      <c r="L31" s="33">
        <f t="shared" si="3"/>
        <v>0</v>
      </c>
      <c r="M31" s="35">
        <f t="shared" si="4"/>
        <v>0</v>
      </c>
    </row>
    <row r="32" spans="1:13" x14ac:dyDescent="0.2">
      <c r="A32" s="20" t="s">
        <v>153</v>
      </c>
      <c r="B32" s="20" t="s">
        <v>17</v>
      </c>
      <c r="C32" s="20" t="s">
        <v>151</v>
      </c>
      <c r="D32" s="20" t="s">
        <v>154</v>
      </c>
      <c r="E32" s="33">
        <v>18</v>
      </c>
      <c r="F32" s="33">
        <f t="shared" si="0"/>
        <v>6.6352941176470592</v>
      </c>
      <c r="G32" s="36"/>
      <c r="H32" s="20" t="s">
        <v>155</v>
      </c>
      <c r="I32" s="24"/>
      <c r="J32" s="33">
        <f>F32*ROUND(G32,4)/60</f>
        <v>0</v>
      </c>
      <c r="K32" s="35">
        <f t="shared" si="2"/>
        <v>0</v>
      </c>
      <c r="L32" s="33">
        <f t="shared" si="3"/>
        <v>0</v>
      </c>
      <c r="M32" s="35">
        <f t="shared" si="4"/>
        <v>0</v>
      </c>
    </row>
    <row r="33" spans="1:13" x14ac:dyDescent="0.2">
      <c r="A33" s="20" t="s">
        <v>156</v>
      </c>
      <c r="B33" s="20" t="s">
        <v>24</v>
      </c>
      <c r="C33" s="20" t="s">
        <v>151</v>
      </c>
      <c r="D33" s="20" t="s">
        <v>157</v>
      </c>
      <c r="E33" s="33">
        <v>67</v>
      </c>
      <c r="F33" s="33">
        <f t="shared" si="0"/>
        <v>1.5764705882352941</v>
      </c>
      <c r="G33" s="36"/>
      <c r="H33" s="20" t="s">
        <v>155</v>
      </c>
      <c r="I33" s="24"/>
      <c r="J33" s="33">
        <f>F33*ROUND(G33,4)/60</f>
        <v>0</v>
      </c>
      <c r="K33" s="35">
        <f t="shared" si="2"/>
        <v>0</v>
      </c>
      <c r="L33" s="33">
        <f t="shared" si="3"/>
        <v>0</v>
      </c>
      <c r="M33" s="35">
        <f t="shared" si="4"/>
        <v>0</v>
      </c>
    </row>
    <row r="34" spans="1:13" x14ac:dyDescent="0.2">
      <c r="A34" s="20" t="s">
        <v>156</v>
      </c>
      <c r="B34" s="20" t="s">
        <v>17</v>
      </c>
      <c r="C34" s="20" t="s">
        <v>151</v>
      </c>
      <c r="D34" s="20" t="s">
        <v>157</v>
      </c>
      <c r="E34" s="33">
        <v>12</v>
      </c>
      <c r="F34" s="33">
        <f t="shared" si="0"/>
        <v>4.4235294117647062</v>
      </c>
      <c r="G34" s="36"/>
      <c r="H34" s="20" t="s">
        <v>155</v>
      </c>
      <c r="I34" s="24"/>
      <c r="J34" s="33">
        <f>F34*ROUND(G34,4)/60</f>
        <v>0</v>
      </c>
      <c r="K34" s="35">
        <f t="shared" si="2"/>
        <v>0</v>
      </c>
      <c r="L34" s="33">
        <f t="shared" si="3"/>
        <v>0</v>
      </c>
      <c r="M34" s="35">
        <f t="shared" si="4"/>
        <v>0</v>
      </c>
    </row>
    <row r="35" spans="1:13" x14ac:dyDescent="0.2">
      <c r="A35" s="25" t="s">
        <v>158</v>
      </c>
      <c r="B35" s="25" t="s">
        <v>24</v>
      </c>
      <c r="C35" s="25" t="s">
        <v>151</v>
      </c>
      <c r="D35" s="25" t="s">
        <v>159</v>
      </c>
      <c r="E35" s="37">
        <v>22</v>
      </c>
      <c r="F35" s="37">
        <f t="shared" si="0"/>
        <v>0.51764705882352935</v>
      </c>
      <c r="G35" s="38"/>
      <c r="H35" s="25" t="s">
        <v>155</v>
      </c>
      <c r="I35" s="29"/>
      <c r="J35" s="37">
        <f>F35*ROUND(G35,4)/60</f>
        <v>0</v>
      </c>
      <c r="K35" s="39">
        <f t="shared" si="2"/>
        <v>0</v>
      </c>
      <c r="L35" s="37">
        <f t="shared" si="3"/>
        <v>0</v>
      </c>
      <c r="M35" s="39">
        <f t="shared" si="4"/>
        <v>0</v>
      </c>
    </row>
    <row r="36" spans="1:13" x14ac:dyDescent="0.2">
      <c r="A36" s="40" t="s">
        <v>160</v>
      </c>
      <c r="B36" s="41"/>
      <c r="C36" s="41"/>
      <c r="D36" s="41"/>
      <c r="E36" s="41"/>
      <c r="F36" s="41"/>
      <c r="G36" s="41"/>
      <c r="H36" s="41"/>
      <c r="I36" s="41"/>
      <c r="J36" s="42">
        <f>SUM(J6:J35)</f>
        <v>0</v>
      </c>
      <c r="K36" s="43">
        <f>SUM(K6:K35)</f>
        <v>0</v>
      </c>
      <c r="L36" s="42">
        <f>SUM(L6:L35)</f>
        <v>0</v>
      </c>
      <c r="M36" s="44">
        <f>SUM(M6:M35)</f>
        <v>0</v>
      </c>
    </row>
    <row r="37" spans="1:13" x14ac:dyDescent="0.2">
      <c r="A37" s="45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6"/>
    </row>
    <row r="38" spans="1:13" x14ac:dyDescent="0.2">
      <c r="A38" s="40" t="s">
        <v>161</v>
      </c>
      <c r="B38" s="41"/>
      <c r="C38" s="41"/>
      <c r="D38" s="41"/>
      <c r="E38" s="41"/>
      <c r="F38" s="41"/>
      <c r="G38" s="41"/>
      <c r="H38" s="41"/>
      <c r="I38" s="43">
        <f>IF(urenjaar1&gt;0,SUMIF(L6:L35,"&gt;0",M6:M35)/urenjaar1,0)</f>
        <v>0</v>
      </c>
      <c r="J38" s="41"/>
      <c r="K38" s="41"/>
      <c r="L38" s="41"/>
      <c r="M38" s="46"/>
    </row>
    <row r="39" spans="1:13" x14ac:dyDescent="0.2">
      <c r="A39" s="45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6"/>
    </row>
    <row r="41" spans="1:13" x14ac:dyDescent="0.2">
      <c r="A41" s="40" t="s">
        <v>162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2">
        <f>urenjaar1</f>
        <v>0</v>
      </c>
      <c r="M41" s="43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SOMA College EA 2022                              &amp;ROpmaakdatum: 20-12-2021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0BBE-E49A-4BA4-B6D7-0A6299E374A0}">
  <dimension ref="A1:P35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6" width="12.625" customWidth="1"/>
  </cols>
  <sheetData>
    <row r="1" spans="1:16" x14ac:dyDescent="0.2">
      <c r="A1" s="1" t="s">
        <v>163</v>
      </c>
    </row>
    <row r="3" spans="1:16" x14ac:dyDescent="0.2">
      <c r="A3" s="47" t="s">
        <v>105</v>
      </c>
      <c r="B3" s="47" t="s">
        <v>7</v>
      </c>
      <c r="C3" s="47" t="s">
        <v>164</v>
      </c>
      <c r="D3" s="47" t="s">
        <v>165</v>
      </c>
      <c r="E3" s="47" t="s">
        <v>166</v>
      </c>
      <c r="F3" s="47" t="s">
        <v>167</v>
      </c>
      <c r="G3" s="47" t="s">
        <v>168</v>
      </c>
      <c r="H3" s="47" t="s">
        <v>169</v>
      </c>
      <c r="I3" s="47" t="s">
        <v>170</v>
      </c>
      <c r="J3" s="47" t="s">
        <v>171</v>
      </c>
      <c r="K3" s="47" t="s">
        <v>172</v>
      </c>
      <c r="L3" s="47" t="s">
        <v>173</v>
      </c>
      <c r="M3" s="47" t="s">
        <v>174</v>
      </c>
      <c r="N3" s="47" t="s">
        <v>175</v>
      </c>
      <c r="O3" s="47" t="s">
        <v>176</v>
      </c>
      <c r="P3" s="47" t="s">
        <v>177</v>
      </c>
    </row>
    <row r="4" spans="1:16" x14ac:dyDescent="0.2">
      <c r="A4" s="48"/>
      <c r="B4" s="48"/>
      <c r="C4" s="48"/>
      <c r="D4" s="48"/>
      <c r="E4" s="48"/>
      <c r="F4" s="48"/>
      <c r="G4" s="48"/>
      <c r="H4" s="48"/>
      <c r="I4" s="49" t="s">
        <v>107</v>
      </c>
      <c r="J4" s="49" t="s">
        <v>107</v>
      </c>
      <c r="K4" s="49" t="s">
        <v>107</v>
      </c>
      <c r="L4" s="49" t="s">
        <v>107</v>
      </c>
      <c r="M4" s="49" t="s">
        <v>107</v>
      </c>
      <c r="N4" s="49" t="s">
        <v>107</v>
      </c>
      <c r="O4" s="49" t="s">
        <v>107</v>
      </c>
      <c r="P4" s="49" t="s">
        <v>107</v>
      </c>
    </row>
    <row r="5" spans="1:16" x14ac:dyDescent="0.2">
      <c r="A5" s="15" t="s">
        <v>113</v>
      </c>
      <c r="B5" s="15" t="s">
        <v>15</v>
      </c>
      <c r="C5" s="15" t="s">
        <v>178</v>
      </c>
      <c r="D5" s="15" t="s">
        <v>114</v>
      </c>
      <c r="E5" s="30">
        <f t="shared" ref="E5:E34" si="0">IF(B5="","",VLOOKUP(B5,dagsoorttabel1,2,FALSE))</f>
        <v>0.55294117647058827</v>
      </c>
      <c r="F5" s="30">
        <v>1</v>
      </c>
      <c r="G5" s="30">
        <f>IF(prodnorm21&gt;0,1/ROUND(prodnorm21,4),0)</f>
        <v>0</v>
      </c>
      <c r="H5" s="32">
        <f>ROUND(uurtarief21,2)</f>
        <v>0</v>
      </c>
      <c r="I5" s="30">
        <v>324.20000000000005</v>
      </c>
      <c r="J5" s="30">
        <v>0</v>
      </c>
      <c r="K5" s="30">
        <v>0</v>
      </c>
      <c r="L5" s="30">
        <v>0</v>
      </c>
      <c r="M5" s="30">
        <v>0</v>
      </c>
      <c r="N5" s="30">
        <v>0</v>
      </c>
      <c r="O5" s="30">
        <v>1684.7999999999995</v>
      </c>
      <c r="P5" s="30">
        <v>0</v>
      </c>
    </row>
    <row r="6" spans="1:16" x14ac:dyDescent="0.2">
      <c r="A6" s="20" t="s">
        <v>113</v>
      </c>
      <c r="B6" s="20" t="s">
        <v>11</v>
      </c>
      <c r="C6" s="20" t="s">
        <v>178</v>
      </c>
      <c r="D6" s="20" t="s">
        <v>114</v>
      </c>
      <c r="E6" s="33">
        <f t="shared" si="0"/>
        <v>0.92156862745098034</v>
      </c>
      <c r="F6" s="33">
        <v>1</v>
      </c>
      <c r="G6" s="33">
        <f>IF(prodnorm22&gt;0,1/ROUND(prodnorm22,4),0)</f>
        <v>0</v>
      </c>
      <c r="H6" s="35">
        <f>ROUND(uurtarief22,2)</f>
        <v>0</v>
      </c>
      <c r="I6" s="33">
        <v>18.399999999999999</v>
      </c>
      <c r="J6" s="33">
        <v>0</v>
      </c>
      <c r="K6" s="33">
        <v>0</v>
      </c>
      <c r="L6" s="33">
        <v>58.15</v>
      </c>
      <c r="M6" s="33">
        <v>0</v>
      </c>
      <c r="N6" s="33">
        <v>0</v>
      </c>
      <c r="O6" s="33">
        <v>0</v>
      </c>
      <c r="P6" s="33">
        <v>54</v>
      </c>
    </row>
    <row r="7" spans="1:16" x14ac:dyDescent="0.2">
      <c r="A7" s="20" t="s">
        <v>113</v>
      </c>
      <c r="B7" s="20" t="s">
        <v>10</v>
      </c>
      <c r="C7" s="20" t="s">
        <v>178</v>
      </c>
      <c r="D7" s="20" t="s">
        <v>114</v>
      </c>
      <c r="E7" s="33">
        <f t="shared" si="0"/>
        <v>1</v>
      </c>
      <c r="F7" s="33">
        <v>1</v>
      </c>
      <c r="G7" s="33">
        <f>IF(prodnorm23&gt;0,1/ROUND(prodnorm23,4),0)</f>
        <v>0</v>
      </c>
      <c r="H7" s="35">
        <f>ROUND(uurtarief23,2)</f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18.8</v>
      </c>
      <c r="P7" s="33">
        <v>0</v>
      </c>
    </row>
    <row r="8" spans="1:16" x14ac:dyDescent="0.2">
      <c r="A8" s="20" t="s">
        <v>117</v>
      </c>
      <c r="B8" s="20" t="s">
        <v>11</v>
      </c>
      <c r="C8" s="20" t="s">
        <v>178</v>
      </c>
      <c r="D8" s="20" t="s">
        <v>114</v>
      </c>
      <c r="E8" s="33">
        <f t="shared" si="0"/>
        <v>0.92156862745098034</v>
      </c>
      <c r="F8" s="33">
        <v>1</v>
      </c>
      <c r="G8" s="33">
        <f>IF(prodnorm24&gt;0,1/ROUND(prodnorm24,4),0)</f>
        <v>0</v>
      </c>
      <c r="H8" s="35">
        <f>ROUND(uurtarief24,2)</f>
        <v>0</v>
      </c>
      <c r="I8" s="33">
        <v>0</v>
      </c>
      <c r="J8" s="33">
        <v>186.32</v>
      </c>
      <c r="K8" s="33">
        <v>142.19999999999999</v>
      </c>
      <c r="L8" s="33">
        <v>101</v>
      </c>
      <c r="M8" s="33">
        <v>0</v>
      </c>
      <c r="N8" s="33">
        <v>13.44</v>
      </c>
      <c r="O8" s="33">
        <v>0</v>
      </c>
      <c r="P8" s="33">
        <v>0</v>
      </c>
    </row>
    <row r="9" spans="1:16" x14ac:dyDescent="0.2">
      <c r="A9" s="20" t="s">
        <v>119</v>
      </c>
      <c r="B9" s="20" t="s">
        <v>11</v>
      </c>
      <c r="C9" s="20" t="s">
        <v>178</v>
      </c>
      <c r="D9" s="20" t="s">
        <v>114</v>
      </c>
      <c r="E9" s="33">
        <f t="shared" si="0"/>
        <v>0.92156862745098034</v>
      </c>
      <c r="F9" s="33">
        <v>1</v>
      </c>
      <c r="G9" s="33">
        <f>IF(prodnorm25&gt;0,1/ROUND(prodnorm25,4),0)</f>
        <v>0</v>
      </c>
      <c r="H9" s="35">
        <f>ROUND(uurtarief25,2)</f>
        <v>0</v>
      </c>
      <c r="I9" s="33">
        <v>0</v>
      </c>
      <c r="J9" s="33">
        <v>52</v>
      </c>
      <c r="K9" s="33">
        <v>45.2</v>
      </c>
      <c r="L9" s="33">
        <v>11</v>
      </c>
      <c r="M9" s="33">
        <v>0</v>
      </c>
      <c r="N9" s="33">
        <v>0</v>
      </c>
      <c r="O9" s="33">
        <v>0</v>
      </c>
      <c r="P9" s="33">
        <v>0</v>
      </c>
    </row>
    <row r="10" spans="1:16" x14ac:dyDescent="0.2">
      <c r="A10" s="20" t="s">
        <v>121</v>
      </c>
      <c r="B10" s="20" t="s">
        <v>11</v>
      </c>
      <c r="C10" s="20" t="s">
        <v>178</v>
      </c>
      <c r="D10" s="20" t="s">
        <v>114</v>
      </c>
      <c r="E10" s="33">
        <f t="shared" si="0"/>
        <v>0.92156862745098034</v>
      </c>
      <c r="F10" s="33">
        <v>1</v>
      </c>
      <c r="G10" s="33">
        <f>IF(prodnorm26&gt;0,1/ROUND(prodnorm26,4),0)</f>
        <v>0</v>
      </c>
      <c r="H10" s="35">
        <f>ROUND(uurtarief26,2)</f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348.6</v>
      </c>
      <c r="O10" s="33">
        <v>0</v>
      </c>
      <c r="P10" s="33">
        <v>0</v>
      </c>
    </row>
    <row r="11" spans="1:16" x14ac:dyDescent="0.2">
      <c r="A11" s="20" t="s">
        <v>121</v>
      </c>
      <c r="B11" s="20" t="s">
        <v>20</v>
      </c>
      <c r="C11" s="20" t="s">
        <v>178</v>
      </c>
      <c r="D11" s="20" t="s">
        <v>114</v>
      </c>
      <c r="E11" s="33">
        <f t="shared" si="0"/>
        <v>0.18431372549019609</v>
      </c>
      <c r="F11" s="33">
        <v>1</v>
      </c>
      <c r="G11" s="33">
        <f>IF(prodnorm27&gt;0,1/ROUND(prodnorm27,4),0)</f>
        <v>0</v>
      </c>
      <c r="H11" s="35">
        <f>ROUND(uurtarief27,2)</f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31.7</v>
      </c>
      <c r="O11" s="33">
        <v>0</v>
      </c>
      <c r="P11" s="33">
        <v>0</v>
      </c>
    </row>
    <row r="12" spans="1:16" x14ac:dyDescent="0.2">
      <c r="A12" s="20" t="s">
        <v>123</v>
      </c>
      <c r="B12" s="20" t="s">
        <v>10</v>
      </c>
      <c r="C12" s="20" t="s">
        <v>178</v>
      </c>
      <c r="D12" s="20" t="s">
        <v>114</v>
      </c>
      <c r="E12" s="33">
        <f t="shared" si="0"/>
        <v>1</v>
      </c>
      <c r="F12" s="33">
        <v>1</v>
      </c>
      <c r="G12" s="33">
        <f>IF(prodnorm28&gt;0,1/ROUND(prodnorm28,4),0)</f>
        <v>0</v>
      </c>
      <c r="H12" s="35">
        <f>ROUND(uurtarief28,2)</f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2.6</v>
      </c>
      <c r="P12" s="33">
        <v>0</v>
      </c>
    </row>
    <row r="13" spans="1:16" x14ac:dyDescent="0.2">
      <c r="A13" s="20" t="s">
        <v>125</v>
      </c>
      <c r="B13" s="20" t="s">
        <v>11</v>
      </c>
      <c r="C13" s="20" t="s">
        <v>178</v>
      </c>
      <c r="D13" s="20" t="s">
        <v>114</v>
      </c>
      <c r="E13" s="33">
        <f t="shared" si="0"/>
        <v>0.92156862745098034</v>
      </c>
      <c r="F13" s="33">
        <v>1</v>
      </c>
      <c r="G13" s="33">
        <f>IF(prodnorm29&gt;0,1/ROUND(prodnorm29,4),0)</f>
        <v>0</v>
      </c>
      <c r="H13" s="35">
        <f>ROUND(uurtarief29,2)</f>
        <v>0</v>
      </c>
      <c r="I13" s="33">
        <v>27.3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</row>
    <row r="14" spans="1:16" x14ac:dyDescent="0.2">
      <c r="A14" s="20" t="s">
        <v>127</v>
      </c>
      <c r="B14" s="20" t="s">
        <v>11</v>
      </c>
      <c r="C14" s="20" t="s">
        <v>178</v>
      </c>
      <c r="D14" s="20" t="s">
        <v>114</v>
      </c>
      <c r="E14" s="33">
        <f t="shared" si="0"/>
        <v>0.92156862745098034</v>
      </c>
      <c r="F14" s="33">
        <v>1</v>
      </c>
      <c r="G14" s="33">
        <f>IF(prodnorm30&gt;0,1/ROUND(prodnorm30,4),0)</f>
        <v>0</v>
      </c>
      <c r="H14" s="35">
        <f>ROUND(uurtarief30,2)</f>
        <v>0</v>
      </c>
      <c r="I14" s="33">
        <v>916.7</v>
      </c>
      <c r="J14" s="33">
        <v>0</v>
      </c>
      <c r="K14" s="33">
        <v>0</v>
      </c>
      <c r="L14" s="33">
        <v>0</v>
      </c>
      <c r="M14" s="33">
        <v>465</v>
      </c>
      <c r="N14" s="33">
        <v>0</v>
      </c>
      <c r="O14" s="33">
        <v>347.20000000000005</v>
      </c>
      <c r="P14" s="33">
        <v>36</v>
      </c>
    </row>
    <row r="15" spans="1:16" x14ac:dyDescent="0.2">
      <c r="A15" s="20" t="s">
        <v>129</v>
      </c>
      <c r="B15" s="20" t="s">
        <v>10</v>
      </c>
      <c r="C15" s="20" t="s">
        <v>178</v>
      </c>
      <c r="D15" s="20" t="s">
        <v>114</v>
      </c>
      <c r="E15" s="33">
        <f t="shared" si="0"/>
        <v>1</v>
      </c>
      <c r="F15" s="33">
        <v>1</v>
      </c>
      <c r="G15" s="33">
        <f>IF(prodnorm31&gt;0,1/ROUND(prodnorm31,4),0)</f>
        <v>0</v>
      </c>
      <c r="H15" s="35">
        <f>ROUND(uurtarief31,2)</f>
        <v>0</v>
      </c>
      <c r="I15" s="33">
        <v>0</v>
      </c>
      <c r="J15" s="33">
        <v>0</v>
      </c>
      <c r="K15" s="33">
        <v>0</v>
      </c>
      <c r="L15" s="33">
        <v>0</v>
      </c>
      <c r="M15" s="33">
        <v>50</v>
      </c>
      <c r="N15" s="33">
        <v>0</v>
      </c>
      <c r="O15" s="33">
        <v>0</v>
      </c>
      <c r="P15" s="33">
        <v>0</v>
      </c>
    </row>
    <row r="16" spans="1:16" x14ac:dyDescent="0.2">
      <c r="A16" s="20" t="s">
        <v>131</v>
      </c>
      <c r="B16" s="20" t="s">
        <v>10</v>
      </c>
      <c r="C16" s="20" t="s">
        <v>178</v>
      </c>
      <c r="D16" s="20" t="s">
        <v>114</v>
      </c>
      <c r="E16" s="33">
        <f t="shared" si="0"/>
        <v>1</v>
      </c>
      <c r="F16" s="33">
        <v>1</v>
      </c>
      <c r="G16" s="33">
        <f>IF(prodnorm33&gt;0,1/ROUND(prodnorm33,4),0)</f>
        <v>0</v>
      </c>
      <c r="H16" s="35">
        <f>ROUND(uurtarief33,2)</f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17.399999999999999</v>
      </c>
      <c r="P16" s="33">
        <v>0</v>
      </c>
    </row>
    <row r="17" spans="1:16" x14ac:dyDescent="0.2">
      <c r="A17" s="20" t="s">
        <v>133</v>
      </c>
      <c r="B17" s="20" t="s">
        <v>11</v>
      </c>
      <c r="C17" s="20" t="s">
        <v>178</v>
      </c>
      <c r="D17" s="20" t="s">
        <v>114</v>
      </c>
      <c r="E17" s="33">
        <f t="shared" si="0"/>
        <v>0.92156862745098034</v>
      </c>
      <c r="F17" s="33">
        <v>1</v>
      </c>
      <c r="G17" s="33">
        <f>IF(prodnorm34&gt;0,1/ROUND(prodnorm34,4),0)</f>
        <v>0</v>
      </c>
      <c r="H17" s="35">
        <f>ROUND(uurtarief34,2)</f>
        <v>0</v>
      </c>
      <c r="I17" s="33">
        <v>217</v>
      </c>
      <c r="J17" s="33">
        <v>0</v>
      </c>
      <c r="K17" s="33">
        <v>0</v>
      </c>
      <c r="L17" s="33">
        <v>0</v>
      </c>
      <c r="M17" s="33">
        <v>137</v>
      </c>
      <c r="N17" s="33">
        <v>0</v>
      </c>
      <c r="O17" s="33">
        <v>0</v>
      </c>
      <c r="P17" s="33">
        <v>0</v>
      </c>
    </row>
    <row r="18" spans="1:16" x14ac:dyDescent="0.2">
      <c r="A18" s="20" t="s">
        <v>135</v>
      </c>
      <c r="B18" s="20" t="s">
        <v>11</v>
      </c>
      <c r="C18" s="20" t="s">
        <v>178</v>
      </c>
      <c r="D18" s="20" t="s">
        <v>114</v>
      </c>
      <c r="E18" s="33">
        <f t="shared" si="0"/>
        <v>0.92156862745098034</v>
      </c>
      <c r="F18" s="33">
        <v>1</v>
      </c>
      <c r="G18" s="33">
        <f>IF(prodnorm35&gt;0,1/ROUND(prodnorm35,4),0)</f>
        <v>0</v>
      </c>
      <c r="H18" s="35">
        <f>ROUND(uurtarief35,2)</f>
        <v>0</v>
      </c>
      <c r="I18" s="33">
        <v>0</v>
      </c>
      <c r="J18" s="33">
        <v>228</v>
      </c>
      <c r="K18" s="33">
        <v>0</v>
      </c>
      <c r="L18" s="33">
        <v>0</v>
      </c>
      <c r="M18" s="33">
        <v>0</v>
      </c>
      <c r="N18" s="33">
        <v>0</v>
      </c>
      <c r="O18" s="33">
        <v>177.1</v>
      </c>
      <c r="P18" s="33">
        <v>0</v>
      </c>
    </row>
    <row r="19" spans="1:16" x14ac:dyDescent="0.2">
      <c r="A19" s="20" t="s">
        <v>135</v>
      </c>
      <c r="B19" s="20" t="s">
        <v>24</v>
      </c>
      <c r="C19" s="20" t="s">
        <v>178</v>
      </c>
      <c r="D19" s="20" t="s">
        <v>114</v>
      </c>
      <c r="E19" s="33">
        <f t="shared" si="0"/>
        <v>2.3529411764705882E-2</v>
      </c>
      <c r="F19" s="33">
        <v>1</v>
      </c>
      <c r="G19" s="33">
        <f>IF(prodnorm36&gt;0,1/ROUND(prodnorm36,4),0)</f>
        <v>0</v>
      </c>
      <c r="H19" s="35">
        <f>ROUND(uurtarief36,2)</f>
        <v>0</v>
      </c>
      <c r="I19" s="33">
        <v>0</v>
      </c>
      <c r="J19" s="33">
        <v>0</v>
      </c>
      <c r="K19" s="33">
        <v>232.20000000000002</v>
      </c>
      <c r="L19" s="33">
        <v>323.52999999999997</v>
      </c>
      <c r="M19" s="33">
        <v>0</v>
      </c>
      <c r="N19" s="33">
        <v>0</v>
      </c>
      <c r="O19" s="33">
        <v>0</v>
      </c>
      <c r="P19" s="33">
        <v>0</v>
      </c>
    </row>
    <row r="20" spans="1:16" x14ac:dyDescent="0.2">
      <c r="A20" s="20" t="s">
        <v>137</v>
      </c>
      <c r="B20" s="20" t="s">
        <v>11</v>
      </c>
      <c r="C20" s="20" t="s">
        <v>178</v>
      </c>
      <c r="D20" s="20" t="s">
        <v>114</v>
      </c>
      <c r="E20" s="33">
        <f t="shared" si="0"/>
        <v>0.92156862745098034</v>
      </c>
      <c r="F20" s="33">
        <v>1</v>
      </c>
      <c r="G20" s="33">
        <f>IF(prodnorm37&gt;0,1/ROUND(prodnorm37,4),0)</f>
        <v>0</v>
      </c>
      <c r="H20" s="35">
        <f>ROUND(uurtarief37,2)</f>
        <v>0</v>
      </c>
      <c r="I20" s="33">
        <v>0</v>
      </c>
      <c r="J20" s="33">
        <v>59.8</v>
      </c>
      <c r="K20" s="33">
        <v>68.460000000000008</v>
      </c>
      <c r="L20" s="33">
        <v>46</v>
      </c>
      <c r="M20" s="33">
        <v>40</v>
      </c>
      <c r="N20" s="33">
        <v>84.66</v>
      </c>
      <c r="O20" s="33">
        <v>0</v>
      </c>
      <c r="P20" s="33">
        <v>36</v>
      </c>
    </row>
    <row r="21" spans="1:16" x14ac:dyDescent="0.2">
      <c r="A21" s="20" t="s">
        <v>137</v>
      </c>
      <c r="B21" s="20" t="s">
        <v>10</v>
      </c>
      <c r="C21" s="20" t="s">
        <v>178</v>
      </c>
      <c r="D21" s="20" t="s">
        <v>114</v>
      </c>
      <c r="E21" s="33">
        <f t="shared" si="0"/>
        <v>1</v>
      </c>
      <c r="F21" s="33">
        <v>1</v>
      </c>
      <c r="G21" s="33">
        <f>IF(prodnorm38&gt;0,1/ROUND(prodnorm38,4),0)</f>
        <v>0</v>
      </c>
      <c r="H21" s="35">
        <f>ROUND(uurtarief38,2)</f>
        <v>0</v>
      </c>
      <c r="I21" s="33">
        <v>40.6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42.599999999999994</v>
      </c>
      <c r="P21" s="33">
        <v>0</v>
      </c>
    </row>
    <row r="22" spans="1:16" x14ac:dyDescent="0.2">
      <c r="A22" s="20" t="s">
        <v>139</v>
      </c>
      <c r="B22" s="20" t="s">
        <v>10</v>
      </c>
      <c r="C22" s="20" t="s">
        <v>178</v>
      </c>
      <c r="D22" s="20" t="s">
        <v>114</v>
      </c>
      <c r="E22" s="33">
        <f t="shared" si="0"/>
        <v>1</v>
      </c>
      <c r="F22" s="33">
        <v>1</v>
      </c>
      <c r="G22" s="33">
        <f>IF(prodnorm39&gt;0,1/ROUND(prodnorm39,4),0)</f>
        <v>0</v>
      </c>
      <c r="H22" s="35">
        <f>ROUND(uurtarief39,2)</f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14.2</v>
      </c>
      <c r="P22" s="33">
        <v>0</v>
      </c>
    </row>
    <row r="23" spans="1:16" x14ac:dyDescent="0.2">
      <c r="A23" s="20" t="s">
        <v>141</v>
      </c>
      <c r="B23" s="20" t="s">
        <v>11</v>
      </c>
      <c r="C23" s="20" t="s">
        <v>178</v>
      </c>
      <c r="D23" s="20" t="s">
        <v>114</v>
      </c>
      <c r="E23" s="33">
        <f t="shared" si="0"/>
        <v>0.92156862745098034</v>
      </c>
      <c r="F23" s="33">
        <v>1</v>
      </c>
      <c r="G23" s="33">
        <f>IF(prodnorm40&gt;0,1/ROUND(prodnorm40,4),0)</f>
        <v>0</v>
      </c>
      <c r="H23" s="35">
        <f>ROUND(uurtarief40,2)</f>
        <v>0</v>
      </c>
      <c r="I23" s="33">
        <v>0</v>
      </c>
      <c r="J23" s="33">
        <v>52</v>
      </c>
      <c r="K23" s="33">
        <v>86</v>
      </c>
      <c r="L23" s="33">
        <v>67.8</v>
      </c>
      <c r="M23" s="33">
        <v>18.419999999999998</v>
      </c>
      <c r="N23" s="33">
        <v>1.9000000000000001</v>
      </c>
      <c r="O23" s="33">
        <v>0</v>
      </c>
      <c r="P23" s="33">
        <v>0</v>
      </c>
    </row>
    <row r="24" spans="1:16" x14ac:dyDescent="0.2">
      <c r="A24" s="20" t="s">
        <v>141</v>
      </c>
      <c r="B24" s="20" t="s">
        <v>10</v>
      </c>
      <c r="C24" s="20" t="s">
        <v>178</v>
      </c>
      <c r="D24" s="20" t="s">
        <v>114</v>
      </c>
      <c r="E24" s="33">
        <f t="shared" si="0"/>
        <v>1</v>
      </c>
      <c r="F24" s="33">
        <v>1</v>
      </c>
      <c r="G24" s="33">
        <f>IF(prodnorm41&gt;0,1/ROUND(prodnorm41,4),0)</f>
        <v>0</v>
      </c>
      <c r="H24" s="35">
        <f>ROUND(uurtarief41,2)</f>
        <v>0</v>
      </c>
      <c r="I24" s="33">
        <v>44.9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163.80000000000001</v>
      </c>
      <c r="P24" s="33">
        <v>0</v>
      </c>
    </row>
    <row r="25" spans="1:16" x14ac:dyDescent="0.2">
      <c r="A25" s="20" t="s">
        <v>143</v>
      </c>
      <c r="B25" s="20" t="s">
        <v>11</v>
      </c>
      <c r="C25" s="20" t="s">
        <v>178</v>
      </c>
      <c r="D25" s="20" t="s">
        <v>114</v>
      </c>
      <c r="E25" s="33">
        <f t="shared" si="0"/>
        <v>0.92156862745098034</v>
      </c>
      <c r="F25" s="33">
        <v>1</v>
      </c>
      <c r="G25" s="33">
        <f>IF(prodnorm42&gt;0,1/ROUND(prodnorm42,4),0)</f>
        <v>0</v>
      </c>
      <c r="H25" s="35">
        <f>ROUND(uurtarief42,2)</f>
        <v>0</v>
      </c>
      <c r="I25" s="33">
        <v>254.2</v>
      </c>
      <c r="J25" s="33">
        <v>288</v>
      </c>
      <c r="K25" s="33">
        <v>295.89999999999998</v>
      </c>
      <c r="L25" s="33">
        <v>281.5</v>
      </c>
      <c r="M25" s="33">
        <v>95.1</v>
      </c>
      <c r="N25" s="33">
        <v>75.3</v>
      </c>
      <c r="O25" s="33">
        <v>0</v>
      </c>
      <c r="P25" s="33">
        <v>0</v>
      </c>
    </row>
    <row r="26" spans="1:16" x14ac:dyDescent="0.2">
      <c r="A26" s="20" t="s">
        <v>143</v>
      </c>
      <c r="B26" s="20" t="s">
        <v>10</v>
      </c>
      <c r="C26" s="20" t="s">
        <v>178</v>
      </c>
      <c r="D26" s="20" t="s">
        <v>114</v>
      </c>
      <c r="E26" s="33">
        <f t="shared" si="0"/>
        <v>1</v>
      </c>
      <c r="F26" s="33">
        <v>1</v>
      </c>
      <c r="G26" s="33">
        <f>IF(prodnorm43&gt;0,1/ROUND(prodnorm43,4),0)</f>
        <v>0</v>
      </c>
      <c r="H26" s="35">
        <f>ROUND(uurtarief43,2)</f>
        <v>0</v>
      </c>
      <c r="I26" s="33">
        <v>598.1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495.90000000000003</v>
      </c>
      <c r="P26" s="33">
        <v>0</v>
      </c>
    </row>
    <row r="27" spans="1:16" x14ac:dyDescent="0.2">
      <c r="A27" s="20" t="s">
        <v>145</v>
      </c>
      <c r="B27" s="20" t="s">
        <v>11</v>
      </c>
      <c r="C27" s="20" t="s">
        <v>178</v>
      </c>
      <c r="D27" s="20" t="s">
        <v>114</v>
      </c>
      <c r="E27" s="33">
        <f t="shared" si="0"/>
        <v>0.92156862745098034</v>
      </c>
      <c r="F27" s="33">
        <v>1</v>
      </c>
      <c r="G27" s="33">
        <f>IF(prodnorm44&gt;0,1/ROUND(prodnorm44,4),0)</f>
        <v>0</v>
      </c>
      <c r="H27" s="35">
        <f>ROUND(uurtarief44,2)</f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18</v>
      </c>
    </row>
    <row r="28" spans="1:16" x14ac:dyDescent="0.2">
      <c r="A28" s="20" t="s">
        <v>147</v>
      </c>
      <c r="B28" s="20" t="s">
        <v>28</v>
      </c>
      <c r="C28" s="20" t="s">
        <v>178</v>
      </c>
      <c r="D28" s="20" t="s">
        <v>148</v>
      </c>
      <c r="E28" s="33">
        <f t="shared" si="0"/>
        <v>3.9215686274509803E-3</v>
      </c>
      <c r="F28" s="33">
        <v>1</v>
      </c>
      <c r="G28" s="33">
        <f>IF(prodnorm45&gt;0,1/ROUND(prodnorm45,4),0)</f>
        <v>0</v>
      </c>
      <c r="H28" s="35">
        <f>ROUND(uurtarief45,2)</f>
        <v>0</v>
      </c>
      <c r="I28" s="33">
        <v>0</v>
      </c>
      <c r="J28" s="33">
        <v>0</v>
      </c>
      <c r="K28" s="33">
        <v>0</v>
      </c>
      <c r="L28" s="33">
        <v>0</v>
      </c>
      <c r="M28" s="33">
        <v>737.1</v>
      </c>
      <c r="N28" s="33">
        <v>95.6</v>
      </c>
      <c r="O28" s="33">
        <v>0</v>
      </c>
      <c r="P28" s="33">
        <v>144</v>
      </c>
    </row>
    <row r="29" spans="1:16" x14ac:dyDescent="0.2">
      <c r="A29" s="20" t="s">
        <v>150</v>
      </c>
      <c r="B29" s="20" t="s">
        <v>28</v>
      </c>
      <c r="C29" s="20" t="s">
        <v>178</v>
      </c>
      <c r="D29" s="20" t="s">
        <v>151</v>
      </c>
      <c r="E29" s="33">
        <f t="shared" si="0"/>
        <v>3.9215686274509803E-3</v>
      </c>
      <c r="F29" s="33">
        <v>1</v>
      </c>
      <c r="G29" s="33">
        <f>IF(prodnorm14&gt;0,1/ROUND(prodnorm14,4),0)</f>
        <v>0</v>
      </c>
      <c r="H29" s="35">
        <f>ROUND(uurtarief14,2)</f>
        <v>0</v>
      </c>
      <c r="I29" s="33">
        <v>0</v>
      </c>
      <c r="J29" s="33">
        <v>372</v>
      </c>
      <c r="K29" s="33">
        <v>372</v>
      </c>
      <c r="L29" s="33">
        <v>0</v>
      </c>
      <c r="M29" s="33">
        <v>72</v>
      </c>
      <c r="N29" s="33">
        <v>0</v>
      </c>
      <c r="O29" s="33">
        <v>0</v>
      </c>
      <c r="P29" s="33">
        <v>0</v>
      </c>
    </row>
    <row r="30" spans="1:16" x14ac:dyDescent="0.2">
      <c r="A30" s="20" t="s">
        <v>153</v>
      </c>
      <c r="B30" s="20" t="s">
        <v>24</v>
      </c>
      <c r="C30" s="20" t="s">
        <v>178</v>
      </c>
      <c r="D30" s="20" t="s">
        <v>151</v>
      </c>
      <c r="E30" s="33">
        <f t="shared" si="0"/>
        <v>2.3529411764705882E-2</v>
      </c>
      <c r="F30" s="33">
        <v>1</v>
      </c>
      <c r="G30" s="33">
        <f>ROUND(prodnorm15,4)/60</f>
        <v>0</v>
      </c>
      <c r="H30" s="35">
        <f>ROUND(uurtarief15,2)</f>
        <v>0</v>
      </c>
      <c r="I30" s="33">
        <v>0</v>
      </c>
      <c r="J30" s="33">
        <v>0</v>
      </c>
      <c r="K30" s="33">
        <v>18</v>
      </c>
      <c r="L30" s="33">
        <v>30</v>
      </c>
      <c r="M30" s="33">
        <v>0</v>
      </c>
      <c r="N30" s="33">
        <v>0</v>
      </c>
      <c r="O30" s="33">
        <v>0</v>
      </c>
      <c r="P30" s="33">
        <v>0</v>
      </c>
    </row>
    <row r="31" spans="1:16" x14ac:dyDescent="0.2">
      <c r="A31" s="20" t="s">
        <v>153</v>
      </c>
      <c r="B31" s="20" t="s">
        <v>17</v>
      </c>
      <c r="C31" s="20" t="s">
        <v>178</v>
      </c>
      <c r="D31" s="20" t="s">
        <v>151</v>
      </c>
      <c r="E31" s="33">
        <f t="shared" si="0"/>
        <v>0.36862745098039218</v>
      </c>
      <c r="F31" s="33">
        <v>1</v>
      </c>
      <c r="G31" s="33">
        <f>ROUND(prodnorm16,4)/60</f>
        <v>0</v>
      </c>
      <c r="H31" s="35">
        <f>ROUND(uurtarief16,2)</f>
        <v>0</v>
      </c>
      <c r="I31" s="33">
        <v>0</v>
      </c>
      <c r="J31" s="33">
        <v>18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</row>
    <row r="32" spans="1:16" x14ac:dyDescent="0.2">
      <c r="A32" s="20" t="s">
        <v>156</v>
      </c>
      <c r="B32" s="20" t="s">
        <v>24</v>
      </c>
      <c r="C32" s="20" t="s">
        <v>178</v>
      </c>
      <c r="D32" s="20" t="s">
        <v>151</v>
      </c>
      <c r="E32" s="33">
        <f t="shared" si="0"/>
        <v>2.3529411764705882E-2</v>
      </c>
      <c r="F32" s="33">
        <v>1</v>
      </c>
      <c r="G32" s="33">
        <f>ROUND(prodnorm17,4)/60</f>
        <v>0</v>
      </c>
      <c r="H32" s="35">
        <f>ROUND(uurtarief17,2)</f>
        <v>0</v>
      </c>
      <c r="I32" s="33">
        <v>0</v>
      </c>
      <c r="J32" s="33">
        <v>0</v>
      </c>
      <c r="K32" s="33">
        <v>27</v>
      </c>
      <c r="L32" s="33">
        <v>40</v>
      </c>
      <c r="M32" s="33">
        <v>0</v>
      </c>
      <c r="N32" s="33">
        <v>0</v>
      </c>
      <c r="O32" s="33">
        <v>0</v>
      </c>
      <c r="P32" s="33">
        <v>0</v>
      </c>
    </row>
    <row r="33" spans="1:16" x14ac:dyDescent="0.2">
      <c r="A33" s="20" t="s">
        <v>156</v>
      </c>
      <c r="B33" s="20" t="s">
        <v>17</v>
      </c>
      <c r="C33" s="20" t="s">
        <v>178</v>
      </c>
      <c r="D33" s="20" t="s">
        <v>151</v>
      </c>
      <c r="E33" s="33">
        <f t="shared" si="0"/>
        <v>0.36862745098039218</v>
      </c>
      <c r="F33" s="33">
        <v>1</v>
      </c>
      <c r="G33" s="33">
        <f>ROUND(prodnorm18,4)/60</f>
        <v>0</v>
      </c>
      <c r="H33" s="35">
        <f>ROUND(uurtarief18,2)</f>
        <v>0</v>
      </c>
      <c r="I33" s="33">
        <v>0</v>
      </c>
      <c r="J33" s="33">
        <v>12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</row>
    <row r="34" spans="1:16" x14ac:dyDescent="0.2">
      <c r="A34" s="25" t="s">
        <v>158</v>
      </c>
      <c r="B34" s="25" t="s">
        <v>24</v>
      </c>
      <c r="C34" s="25" t="s">
        <v>178</v>
      </c>
      <c r="D34" s="25" t="s">
        <v>151</v>
      </c>
      <c r="E34" s="37">
        <f t="shared" si="0"/>
        <v>2.3529411764705882E-2</v>
      </c>
      <c r="F34" s="37">
        <v>1</v>
      </c>
      <c r="G34" s="37">
        <f>ROUND(prodnorm19,4)/60</f>
        <v>0</v>
      </c>
      <c r="H34" s="39">
        <f>ROUND(uurtarief19,2)</f>
        <v>0</v>
      </c>
      <c r="I34" s="37">
        <v>0</v>
      </c>
      <c r="J34" s="37">
        <v>3</v>
      </c>
      <c r="K34" s="37">
        <v>9</v>
      </c>
      <c r="L34" s="37">
        <v>10</v>
      </c>
      <c r="M34" s="37">
        <v>0</v>
      </c>
      <c r="N34" s="37">
        <v>0</v>
      </c>
      <c r="O34" s="37">
        <v>0</v>
      </c>
      <c r="P34" s="37">
        <v>0</v>
      </c>
    </row>
    <row r="35" spans="1:16" x14ac:dyDescent="0.2">
      <c r="A35" s="40" t="s">
        <v>160</v>
      </c>
      <c r="B35" s="41"/>
      <c r="C35" s="41"/>
      <c r="D35" s="41"/>
      <c r="E35" s="41"/>
      <c r="F35" s="41"/>
      <c r="G35" s="41"/>
      <c r="H35" s="41"/>
      <c r="I35" s="50"/>
      <c r="J35" s="50"/>
      <c r="K35" s="50"/>
      <c r="L35" s="50"/>
      <c r="M35" s="50"/>
      <c r="N35" s="50"/>
      <c r="O35" s="50"/>
      <c r="P35" s="50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SOMA College EA 2022                              &amp;ROpmaakdatum: 20-12-2021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4964-1113-4A6E-94E0-3E131EF53E57}">
  <dimension ref="A1:O19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2" width="12.125" customWidth="1"/>
    <col min="13" max="13" width="12.625" customWidth="1"/>
    <col min="14" max="15" width="13.625" customWidth="1"/>
  </cols>
  <sheetData>
    <row r="1" spans="1:15" x14ac:dyDescent="0.2">
      <c r="A1" s="1" t="str">
        <f>CONCATENATE("Bijlage I.3: ",tabeltype," objecten")</f>
        <v>Bijlage I.3: Invultabel objecten</v>
      </c>
    </row>
    <row r="3" spans="1:15" ht="38.25" x14ac:dyDescent="0.2">
      <c r="A3" s="8" t="s">
        <v>179</v>
      </c>
      <c r="B3" s="8" t="s">
        <v>180</v>
      </c>
      <c r="C3" s="8" t="s">
        <v>181</v>
      </c>
      <c r="D3" s="8" t="s">
        <v>182</v>
      </c>
      <c r="E3" s="8" t="s">
        <v>7</v>
      </c>
      <c r="F3" s="8" t="s">
        <v>183</v>
      </c>
      <c r="G3" s="8" t="s">
        <v>184</v>
      </c>
      <c r="H3" s="8" t="s">
        <v>185</v>
      </c>
      <c r="I3" s="8" t="s">
        <v>186</v>
      </c>
      <c r="J3" s="8" t="s">
        <v>187</v>
      </c>
      <c r="K3" s="8" t="s">
        <v>188</v>
      </c>
      <c r="L3" s="8" t="s">
        <v>189</v>
      </c>
      <c r="M3" s="8" t="s">
        <v>111</v>
      </c>
      <c r="N3" s="8" t="s">
        <v>190</v>
      </c>
      <c r="O3" s="8" t="s">
        <v>191</v>
      </c>
    </row>
    <row r="4" spans="1:15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5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1:15" x14ac:dyDescent="0.2">
      <c r="A6" s="15" t="s">
        <v>192</v>
      </c>
      <c r="B6" s="15" t="s">
        <v>193</v>
      </c>
      <c r="C6" s="15" t="s">
        <v>194</v>
      </c>
      <c r="D6" s="15" t="s">
        <v>195</v>
      </c>
      <c r="E6" s="51" t="s">
        <v>10</v>
      </c>
      <c r="F6" s="52">
        <f t="shared" ref="F6:F13" si="0">gemuurtarief1</f>
        <v>0</v>
      </c>
      <c r="G6" s="30">
        <f>SUMPRODUCT(taakfreqtabel1,uurfactortabel1,kengetaltabel1,object1_opptabel1)*(1/VLOOKUP(E6,dagsoorttabel1,2,FALSE))</f>
        <v>0</v>
      </c>
      <c r="H6" s="53"/>
      <c r="I6" s="30">
        <f t="shared" ref="I6:I13" si="1">G6+H6</f>
        <v>0</v>
      </c>
      <c r="J6" s="32">
        <f>SUMPRODUCT(taakfreqtabel1,kengetaltabel1,tarieftabel1,object1_opptabel1)*(1/VLOOKUP(E6,dagsoorttabel1,2,FALSE))</f>
        <v>0</v>
      </c>
      <c r="K6" s="32">
        <f t="shared" ref="K6:K13" si="2">F6*H6</f>
        <v>0</v>
      </c>
      <c r="L6" s="32">
        <f t="shared" ref="L6:L13" si="3">SUM(J6:K6)</f>
        <v>0</v>
      </c>
      <c r="M6" s="30">
        <f t="shared" ref="M6:M13" si="4">I6*dagenperjaar1*VLOOKUP(E6,dagsoorttabel1,2,FALSE)</f>
        <v>0</v>
      </c>
      <c r="N6" s="32">
        <f t="shared" ref="N6:N13" si="5">L6*dagenperjaar1*VLOOKUP(E6,dagsoorttabel1,2,FALSE)</f>
        <v>0</v>
      </c>
      <c r="O6" s="32">
        <f t="shared" ref="O6:O13" si="6">N6/12</f>
        <v>0</v>
      </c>
    </row>
    <row r="7" spans="1:15" x14ac:dyDescent="0.2">
      <c r="A7" s="20" t="s">
        <v>196</v>
      </c>
      <c r="B7" s="20" t="s">
        <v>197</v>
      </c>
      <c r="C7" s="20" t="s">
        <v>194</v>
      </c>
      <c r="D7" s="20" t="s">
        <v>195</v>
      </c>
      <c r="E7" s="54" t="s">
        <v>11</v>
      </c>
      <c r="F7" s="55">
        <f t="shared" si="0"/>
        <v>0</v>
      </c>
      <c r="G7" s="33">
        <f>SUMPRODUCT(taakfreqtabel1,uurfactortabel1,kengetaltabel1,object2_opptabel1)*(1/VLOOKUP(E7,dagsoorttabel1,2,FALSE))</f>
        <v>0</v>
      </c>
      <c r="H7" s="56"/>
      <c r="I7" s="33">
        <f t="shared" si="1"/>
        <v>0</v>
      </c>
      <c r="J7" s="35">
        <f>SUMPRODUCT(taakfreqtabel1,kengetaltabel1,tarieftabel1,object2_opptabel1)*(1/VLOOKUP(E7,dagsoorttabel1,2,FALSE))</f>
        <v>0</v>
      </c>
      <c r="K7" s="35">
        <f t="shared" si="2"/>
        <v>0</v>
      </c>
      <c r="L7" s="35">
        <f t="shared" si="3"/>
        <v>0</v>
      </c>
      <c r="M7" s="33">
        <f t="shared" si="4"/>
        <v>0</v>
      </c>
      <c r="N7" s="35">
        <f t="shared" si="5"/>
        <v>0</v>
      </c>
      <c r="O7" s="35">
        <f t="shared" si="6"/>
        <v>0</v>
      </c>
    </row>
    <row r="8" spans="1:15" x14ac:dyDescent="0.2">
      <c r="A8" s="20" t="s">
        <v>198</v>
      </c>
      <c r="B8" s="20" t="s">
        <v>199</v>
      </c>
      <c r="C8" s="20" t="s">
        <v>194</v>
      </c>
      <c r="D8" s="20" t="s">
        <v>195</v>
      </c>
      <c r="E8" s="54" t="s">
        <v>11</v>
      </c>
      <c r="F8" s="55">
        <f t="shared" si="0"/>
        <v>0</v>
      </c>
      <c r="G8" s="33">
        <f>SUMPRODUCT(taakfreqtabel1,uurfactortabel1,kengetaltabel1,object3_opptabel1)*(1/VLOOKUP(E8,dagsoorttabel1,2,FALSE))</f>
        <v>0</v>
      </c>
      <c r="H8" s="56"/>
      <c r="I8" s="33">
        <f t="shared" si="1"/>
        <v>0</v>
      </c>
      <c r="J8" s="35">
        <f>SUMPRODUCT(taakfreqtabel1,kengetaltabel1,tarieftabel1,object3_opptabel1)*(1/VLOOKUP(E8,dagsoorttabel1,2,FALSE))</f>
        <v>0</v>
      </c>
      <c r="K8" s="35">
        <f t="shared" si="2"/>
        <v>0</v>
      </c>
      <c r="L8" s="35">
        <f t="shared" si="3"/>
        <v>0</v>
      </c>
      <c r="M8" s="33">
        <f t="shared" si="4"/>
        <v>0</v>
      </c>
      <c r="N8" s="35">
        <f t="shared" si="5"/>
        <v>0</v>
      </c>
      <c r="O8" s="35">
        <f t="shared" si="6"/>
        <v>0</v>
      </c>
    </row>
    <row r="9" spans="1:15" x14ac:dyDescent="0.2">
      <c r="A9" s="20" t="s">
        <v>200</v>
      </c>
      <c r="B9" s="20" t="s">
        <v>201</v>
      </c>
      <c r="C9" s="20" t="s">
        <v>194</v>
      </c>
      <c r="D9" s="20" t="s">
        <v>195</v>
      </c>
      <c r="E9" s="54" t="s">
        <v>11</v>
      </c>
      <c r="F9" s="55">
        <f t="shared" si="0"/>
        <v>0</v>
      </c>
      <c r="G9" s="33">
        <f>SUMPRODUCT(taakfreqtabel1,uurfactortabel1,kengetaltabel1,object4_opptabel1)*(1/VLOOKUP(E9,dagsoorttabel1,2,FALSE))</f>
        <v>0</v>
      </c>
      <c r="H9" s="56"/>
      <c r="I9" s="33">
        <f t="shared" si="1"/>
        <v>0</v>
      </c>
      <c r="J9" s="35">
        <f>SUMPRODUCT(taakfreqtabel1,kengetaltabel1,tarieftabel1,object4_opptabel1)*(1/VLOOKUP(E9,dagsoorttabel1,2,FALSE))</f>
        <v>0</v>
      </c>
      <c r="K9" s="35">
        <f t="shared" si="2"/>
        <v>0</v>
      </c>
      <c r="L9" s="35">
        <f t="shared" si="3"/>
        <v>0</v>
      </c>
      <c r="M9" s="33">
        <f t="shared" si="4"/>
        <v>0</v>
      </c>
      <c r="N9" s="35">
        <f t="shared" si="5"/>
        <v>0</v>
      </c>
      <c r="O9" s="35">
        <f t="shared" si="6"/>
        <v>0</v>
      </c>
    </row>
    <row r="10" spans="1:15" x14ac:dyDescent="0.2">
      <c r="A10" s="20" t="s">
        <v>202</v>
      </c>
      <c r="B10" s="20" t="s">
        <v>203</v>
      </c>
      <c r="C10" s="20" t="s">
        <v>194</v>
      </c>
      <c r="D10" s="20" t="s">
        <v>195</v>
      </c>
      <c r="E10" s="54" t="s">
        <v>10</v>
      </c>
      <c r="F10" s="55">
        <f t="shared" si="0"/>
        <v>0</v>
      </c>
      <c r="G10" s="33">
        <f>SUMPRODUCT(taakfreqtabel1,uurfactortabel1,kengetaltabel1,object5_opptabel1)*(1/VLOOKUP(E10,dagsoorttabel1,2,FALSE))</f>
        <v>0</v>
      </c>
      <c r="H10" s="56"/>
      <c r="I10" s="33">
        <f t="shared" si="1"/>
        <v>0</v>
      </c>
      <c r="J10" s="35">
        <f>SUMPRODUCT(taakfreqtabel1,kengetaltabel1,tarieftabel1,object5_opptabel1)*(1/VLOOKUP(E10,dagsoorttabel1,2,FALSE))</f>
        <v>0</v>
      </c>
      <c r="K10" s="35">
        <f t="shared" si="2"/>
        <v>0</v>
      </c>
      <c r="L10" s="35">
        <f t="shared" si="3"/>
        <v>0</v>
      </c>
      <c r="M10" s="33">
        <f t="shared" si="4"/>
        <v>0</v>
      </c>
      <c r="N10" s="35">
        <f t="shared" si="5"/>
        <v>0</v>
      </c>
      <c r="O10" s="35">
        <f t="shared" si="6"/>
        <v>0</v>
      </c>
    </row>
    <row r="11" spans="1:15" x14ac:dyDescent="0.2">
      <c r="A11" s="20" t="s">
        <v>204</v>
      </c>
      <c r="B11" s="20" t="s">
        <v>205</v>
      </c>
      <c r="C11" s="20" t="s">
        <v>194</v>
      </c>
      <c r="D11" s="20" t="s">
        <v>195</v>
      </c>
      <c r="E11" s="54" t="s">
        <v>11</v>
      </c>
      <c r="F11" s="55">
        <f t="shared" si="0"/>
        <v>0</v>
      </c>
      <c r="G11" s="33">
        <f>SUMPRODUCT(taakfreqtabel1,uurfactortabel1,kengetaltabel1,object6_opptabel1)*(1/VLOOKUP(E11,dagsoorttabel1,2,FALSE))</f>
        <v>0</v>
      </c>
      <c r="H11" s="56"/>
      <c r="I11" s="33">
        <f t="shared" si="1"/>
        <v>0</v>
      </c>
      <c r="J11" s="35">
        <f>SUMPRODUCT(taakfreqtabel1,kengetaltabel1,tarieftabel1,object6_opptabel1)*(1/VLOOKUP(E11,dagsoorttabel1,2,FALSE))</f>
        <v>0</v>
      </c>
      <c r="K11" s="35">
        <f t="shared" si="2"/>
        <v>0</v>
      </c>
      <c r="L11" s="35">
        <f t="shared" si="3"/>
        <v>0</v>
      </c>
      <c r="M11" s="33">
        <f t="shared" si="4"/>
        <v>0</v>
      </c>
      <c r="N11" s="35">
        <f t="shared" si="5"/>
        <v>0</v>
      </c>
      <c r="O11" s="35">
        <f t="shared" si="6"/>
        <v>0</v>
      </c>
    </row>
    <row r="12" spans="1:15" x14ac:dyDescent="0.2">
      <c r="A12" s="20" t="s">
        <v>206</v>
      </c>
      <c r="B12" s="20" t="s">
        <v>207</v>
      </c>
      <c r="C12" s="20" t="s">
        <v>194</v>
      </c>
      <c r="D12" s="20" t="s">
        <v>195</v>
      </c>
      <c r="E12" s="54" t="s">
        <v>10</v>
      </c>
      <c r="F12" s="55">
        <f t="shared" si="0"/>
        <v>0</v>
      </c>
      <c r="G12" s="33">
        <f>SUMPRODUCT(taakfreqtabel1,uurfactortabel1,kengetaltabel1,object7_opptabel1)*(1/VLOOKUP(E12,dagsoorttabel1,2,FALSE))</f>
        <v>0</v>
      </c>
      <c r="H12" s="56"/>
      <c r="I12" s="33">
        <f t="shared" si="1"/>
        <v>0</v>
      </c>
      <c r="J12" s="35">
        <f>SUMPRODUCT(taakfreqtabel1,kengetaltabel1,tarieftabel1,object7_opptabel1)*(1/VLOOKUP(E12,dagsoorttabel1,2,FALSE))</f>
        <v>0</v>
      </c>
      <c r="K12" s="35">
        <f t="shared" si="2"/>
        <v>0</v>
      </c>
      <c r="L12" s="35">
        <f t="shared" si="3"/>
        <v>0</v>
      </c>
      <c r="M12" s="33">
        <f t="shared" si="4"/>
        <v>0</v>
      </c>
      <c r="N12" s="35">
        <f t="shared" si="5"/>
        <v>0</v>
      </c>
      <c r="O12" s="35">
        <f t="shared" si="6"/>
        <v>0</v>
      </c>
    </row>
    <row r="13" spans="1:15" x14ac:dyDescent="0.2">
      <c r="A13" s="25" t="s">
        <v>208</v>
      </c>
      <c r="B13" s="25" t="s">
        <v>209</v>
      </c>
      <c r="C13" s="25" t="s">
        <v>194</v>
      </c>
      <c r="D13" s="25" t="s">
        <v>195</v>
      </c>
      <c r="E13" s="57" t="s">
        <v>11</v>
      </c>
      <c r="F13" s="58">
        <f t="shared" si="0"/>
        <v>0</v>
      </c>
      <c r="G13" s="37">
        <f>SUMPRODUCT(taakfreqtabel1,uurfactortabel1,kengetaltabel1,object8_opptabel1)*(1/VLOOKUP(E13,dagsoorttabel1,2,FALSE))</f>
        <v>0</v>
      </c>
      <c r="H13" s="59"/>
      <c r="I13" s="37">
        <f t="shared" si="1"/>
        <v>0</v>
      </c>
      <c r="J13" s="39">
        <f>SUMPRODUCT(taakfreqtabel1,kengetaltabel1,tarieftabel1,object8_opptabel1)*(1/VLOOKUP(E13,dagsoorttabel1,2,FALSE))</f>
        <v>0</v>
      </c>
      <c r="K13" s="39">
        <f t="shared" si="2"/>
        <v>0</v>
      </c>
      <c r="L13" s="39">
        <f t="shared" si="3"/>
        <v>0</v>
      </c>
      <c r="M13" s="37">
        <f t="shared" si="4"/>
        <v>0</v>
      </c>
      <c r="N13" s="39">
        <f t="shared" si="5"/>
        <v>0</v>
      </c>
      <c r="O13" s="39">
        <f t="shared" si="6"/>
        <v>0</v>
      </c>
    </row>
    <row r="14" spans="1:15" x14ac:dyDescent="0.2">
      <c r="A14" s="40" t="s">
        <v>160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>
        <f>SUM(M6:M13)</f>
        <v>0</v>
      </c>
      <c r="N14" s="43">
        <f>SUM(N6:N13)</f>
        <v>0</v>
      </c>
      <c r="O14" s="44">
        <f>SUM(O6:O13)</f>
        <v>0</v>
      </c>
    </row>
    <row r="15" spans="1:15" x14ac:dyDescent="0.2">
      <c r="A15" s="45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6"/>
    </row>
    <row r="17" spans="1:15" x14ac:dyDescent="0.2">
      <c r="A17" s="40" t="s">
        <v>210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2">
        <f>urenjaartotaal1</f>
        <v>0</v>
      </c>
      <c r="N17" s="43">
        <f>prijsjaartotaal1</f>
        <v>0</v>
      </c>
      <c r="O17" s="43">
        <f>prijsmaandtotaal1</f>
        <v>0</v>
      </c>
    </row>
    <row r="19" spans="1:15" x14ac:dyDescent="0.2">
      <c r="A19" s="40" t="s">
        <v>211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3">
        <f>N17*1.21</f>
        <v>0</v>
      </c>
      <c r="O19" s="43">
        <f>O17*1.21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SOMA College EA 2022                              &amp;ROpmaakdatum: 20-12-2021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CD44-8CA6-4823-80BD-7A80AF78EBA8}">
  <dimension ref="A1:K8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I.4: ",tabeltype," niet-meewerkende objectleiding")</f>
        <v>Bijlage I.4: Invultabel niet-meewerkende objectleiding</v>
      </c>
    </row>
    <row r="3" spans="1:11" ht="38.25" x14ac:dyDescent="0.2">
      <c r="A3" s="8" t="s">
        <v>212</v>
      </c>
      <c r="B3" s="8" t="s">
        <v>7</v>
      </c>
      <c r="C3" s="8" t="s">
        <v>213</v>
      </c>
      <c r="D3" s="8" t="s">
        <v>214</v>
      </c>
      <c r="E3" s="8" t="s">
        <v>215</v>
      </c>
      <c r="F3" s="8" t="s">
        <v>216</v>
      </c>
      <c r="G3" s="8" t="s">
        <v>217</v>
      </c>
      <c r="H3" s="8" t="s">
        <v>111</v>
      </c>
      <c r="I3" s="8" t="s">
        <v>218</v>
      </c>
      <c r="J3" s="8" t="s">
        <v>219</v>
      </c>
      <c r="K3" s="8" t="s">
        <v>220</v>
      </c>
    </row>
    <row r="4" spans="1:11" x14ac:dyDescent="0.2">
      <c r="A4" s="60"/>
      <c r="B4" s="61"/>
      <c r="C4" s="61"/>
      <c r="D4" s="61"/>
      <c r="E4" s="61"/>
      <c r="F4" s="61"/>
      <c r="G4" s="61"/>
      <c r="H4" s="61"/>
      <c r="I4" s="61"/>
      <c r="J4" s="61"/>
      <c r="K4" s="62"/>
    </row>
    <row r="5" spans="1:11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3" t="s">
        <v>221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222</v>
      </c>
      <c r="B8" s="15" t="s">
        <v>11</v>
      </c>
      <c r="C8" s="16">
        <f>IF(ISBLANK(B8),0,IF(ISERROR(VALUE(B8)),VLOOKUP(B8,dagsoorttabel1,2,FALSE)*dagenperjaar1,VALUE(B8)))</f>
        <v>235</v>
      </c>
      <c r="D8" s="15" t="s">
        <v>223</v>
      </c>
      <c r="E8" s="19"/>
      <c r="F8" s="18"/>
      <c r="G8" s="64"/>
      <c r="H8" s="30">
        <f>IF(ISBLANK(G8),0,G8*C8)+IF(ISBLANK(F8),0,F8*objecturen1_1)</f>
        <v>0</v>
      </c>
      <c r="I8" s="30">
        <f>IF(C8=0,0,H8/C8)</f>
        <v>0</v>
      </c>
      <c r="J8" s="32">
        <f>IF(ISBLANK(E8),0,ROUND(E8,2)*H8)</f>
        <v>0</v>
      </c>
      <c r="K8" s="32">
        <f>J8/12</f>
        <v>0</v>
      </c>
    </row>
    <row r="9" spans="1:11" x14ac:dyDescent="0.2">
      <c r="A9" s="20"/>
      <c r="B9" s="20"/>
      <c r="C9" s="65">
        <f>dagenperjaar1</f>
        <v>255</v>
      </c>
      <c r="D9" s="66" t="s">
        <v>224</v>
      </c>
      <c r="E9" s="24"/>
      <c r="F9" s="23"/>
      <c r="G9" s="67"/>
      <c r="H9" s="33">
        <f>IF(ISBLANK(G9),0,G9*C9)+IF(ISBLANK(F9),0,F9*objecturen1_1)</f>
        <v>0</v>
      </c>
      <c r="I9" s="33">
        <f>IF(C9=0,0,H9/C9)</f>
        <v>0</v>
      </c>
      <c r="J9" s="35">
        <f>IF(ISBLANK(E9),0,ROUND(E9,2)*H9)</f>
        <v>0</v>
      </c>
      <c r="K9" s="35">
        <f>J9/12</f>
        <v>0</v>
      </c>
    </row>
    <row r="10" spans="1:11" x14ac:dyDescent="0.2">
      <c r="A10" s="20"/>
      <c r="B10" s="20"/>
      <c r="C10" s="65">
        <f>dagenperjaar1</f>
        <v>255</v>
      </c>
      <c r="D10" s="66" t="s">
        <v>224</v>
      </c>
      <c r="E10" s="24"/>
      <c r="F10" s="23"/>
      <c r="G10" s="67"/>
      <c r="H10" s="33">
        <f>IF(ISBLANK(G10),0,G10*C10)+IF(ISBLANK(F10),0,F10*objecturen1_1)</f>
        <v>0</v>
      </c>
      <c r="I10" s="33">
        <f>IF(C10=0,0,H10/C10)</f>
        <v>0</v>
      </c>
      <c r="J10" s="35">
        <f>IF(ISBLANK(E10),0,ROUND(E10,2)*H10)</f>
        <v>0</v>
      </c>
      <c r="K10" s="35">
        <f>J10/12</f>
        <v>0</v>
      </c>
    </row>
    <row r="11" spans="1:11" x14ac:dyDescent="0.2">
      <c r="A11" s="20"/>
      <c r="B11" s="20"/>
      <c r="C11" s="65">
        <f>dagenperjaar1</f>
        <v>255</v>
      </c>
      <c r="D11" s="66" t="s">
        <v>225</v>
      </c>
      <c r="E11" s="24"/>
      <c r="F11" s="68"/>
      <c r="G11" s="22"/>
      <c r="H11" s="33">
        <f>IF(ISBLANK(G11),0,G11*C11)+IF(ISBLANK(F11),0,F11*objecturen1_1)</f>
        <v>0</v>
      </c>
      <c r="I11" s="33">
        <f>IF(C11=0,0,H11/C11)</f>
        <v>0</v>
      </c>
      <c r="J11" s="35">
        <f>IF(ISBLANK(E11),0,ROUND(E11,2)*H11)</f>
        <v>0</v>
      </c>
      <c r="K11" s="35">
        <f>J11/12</f>
        <v>0</v>
      </c>
    </row>
    <row r="12" spans="1:11" x14ac:dyDescent="0.2">
      <c r="A12" s="25"/>
      <c r="B12" s="25"/>
      <c r="C12" s="69">
        <f>dagenperjaar1</f>
        <v>255</v>
      </c>
      <c r="D12" s="70" t="s">
        <v>225</v>
      </c>
      <c r="E12" s="29"/>
      <c r="F12" s="71"/>
      <c r="G12" s="27"/>
      <c r="H12" s="37">
        <f>IF(ISBLANK(G12),0,G12*C12)+IF(ISBLANK(F12),0,F12*objecturen1_1)</f>
        <v>0</v>
      </c>
      <c r="I12" s="37">
        <f>IF(C12=0,0,H12/C12)</f>
        <v>0</v>
      </c>
      <c r="J12" s="39">
        <f>IF(ISBLANK(E12),0,ROUND(E12,2)*H12)</f>
        <v>0</v>
      </c>
      <c r="K12" s="39">
        <f>J12/12</f>
        <v>0</v>
      </c>
    </row>
    <row r="13" spans="1:11" x14ac:dyDescent="0.2">
      <c r="A13" s="72" t="s">
        <v>226</v>
      </c>
      <c r="B13" s="41"/>
      <c r="C13" s="41"/>
      <c r="D13" s="41"/>
      <c r="E13" s="41"/>
      <c r="F13" s="41"/>
      <c r="G13" s="41"/>
      <c r="H13" s="42">
        <f>SUM(H8:H12)</f>
        <v>0</v>
      </c>
      <c r="I13" s="41"/>
      <c r="J13" s="43">
        <f>SUM(J8:J12)</f>
        <v>0</v>
      </c>
      <c r="K13" s="44">
        <f>SUM(K8:K12)</f>
        <v>0</v>
      </c>
    </row>
    <row r="14" spans="1:11" x14ac:dyDescent="0.2">
      <c r="A14" s="45"/>
      <c r="B14" s="41"/>
      <c r="C14" s="41"/>
      <c r="D14" s="41"/>
      <c r="E14" s="41"/>
      <c r="F14" s="41"/>
      <c r="G14" s="41"/>
      <c r="H14" s="41"/>
      <c r="I14" s="41"/>
      <c r="J14" s="41"/>
      <c r="K14" s="46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63" t="s">
        <v>227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222</v>
      </c>
      <c r="B17" s="15" t="s">
        <v>11</v>
      </c>
      <c r="C17" s="16">
        <f>IF(ISBLANK(B17),0,IF(ISERROR(VALUE(B17)),VLOOKUP(B17,dagsoorttabel1,2,FALSE)*dagenperjaar1,VALUE(B17)))</f>
        <v>235</v>
      </c>
      <c r="D17" s="15" t="s">
        <v>223</v>
      </c>
      <c r="E17" s="19"/>
      <c r="F17" s="18"/>
      <c r="G17" s="64"/>
      <c r="H17" s="30">
        <f>IF(ISBLANK(G17),0,G17*C17)+IF(ISBLANK(F17),0,F17*objecturen2_1)</f>
        <v>0</v>
      </c>
      <c r="I17" s="30">
        <f>IF(C17=0,0,H17/C17)</f>
        <v>0</v>
      </c>
      <c r="J17" s="32">
        <f>IF(ISBLANK(E17),0,ROUND(E17,2)*H17)</f>
        <v>0</v>
      </c>
      <c r="K17" s="32">
        <f>J17/12</f>
        <v>0</v>
      </c>
    </row>
    <row r="18" spans="1:11" x14ac:dyDescent="0.2">
      <c r="A18" s="20"/>
      <c r="B18" s="20"/>
      <c r="C18" s="65">
        <f>dagenperjaar1</f>
        <v>255</v>
      </c>
      <c r="D18" s="66" t="s">
        <v>224</v>
      </c>
      <c r="E18" s="24"/>
      <c r="F18" s="23"/>
      <c r="G18" s="67"/>
      <c r="H18" s="33">
        <f>IF(ISBLANK(G18),0,G18*C18)+IF(ISBLANK(F18),0,F18*objecturen2_1)</f>
        <v>0</v>
      </c>
      <c r="I18" s="33">
        <f>IF(C18=0,0,H18/C18)</f>
        <v>0</v>
      </c>
      <c r="J18" s="35">
        <f>IF(ISBLANK(E18),0,ROUND(E18,2)*H18)</f>
        <v>0</v>
      </c>
      <c r="K18" s="35">
        <f>J18/12</f>
        <v>0</v>
      </c>
    </row>
    <row r="19" spans="1:11" x14ac:dyDescent="0.2">
      <c r="A19" s="20"/>
      <c r="B19" s="20"/>
      <c r="C19" s="65">
        <f>dagenperjaar1</f>
        <v>255</v>
      </c>
      <c r="D19" s="66" t="s">
        <v>224</v>
      </c>
      <c r="E19" s="24"/>
      <c r="F19" s="23"/>
      <c r="G19" s="67"/>
      <c r="H19" s="33">
        <f>IF(ISBLANK(G19),0,G19*C19)+IF(ISBLANK(F19),0,F19*objecturen2_1)</f>
        <v>0</v>
      </c>
      <c r="I19" s="33">
        <f>IF(C19=0,0,H19/C19)</f>
        <v>0</v>
      </c>
      <c r="J19" s="35">
        <f>IF(ISBLANK(E19),0,ROUND(E19,2)*H19)</f>
        <v>0</v>
      </c>
      <c r="K19" s="35">
        <f>J19/12</f>
        <v>0</v>
      </c>
    </row>
    <row r="20" spans="1:11" x14ac:dyDescent="0.2">
      <c r="A20" s="20"/>
      <c r="B20" s="20"/>
      <c r="C20" s="65">
        <f>dagenperjaar1</f>
        <v>255</v>
      </c>
      <c r="D20" s="66" t="s">
        <v>225</v>
      </c>
      <c r="E20" s="24"/>
      <c r="F20" s="68"/>
      <c r="G20" s="22"/>
      <c r="H20" s="33">
        <f>IF(ISBLANK(G20),0,G20*C20)+IF(ISBLANK(F20),0,F20*objecturen2_1)</f>
        <v>0</v>
      </c>
      <c r="I20" s="33">
        <f>IF(C20=0,0,H20/C20)</f>
        <v>0</v>
      </c>
      <c r="J20" s="35">
        <f>IF(ISBLANK(E20),0,ROUND(E20,2)*H20)</f>
        <v>0</v>
      </c>
      <c r="K20" s="35">
        <f>J20/12</f>
        <v>0</v>
      </c>
    </row>
    <row r="21" spans="1:11" x14ac:dyDescent="0.2">
      <c r="A21" s="25"/>
      <c r="B21" s="25"/>
      <c r="C21" s="69">
        <f>dagenperjaar1</f>
        <v>255</v>
      </c>
      <c r="D21" s="70" t="s">
        <v>225</v>
      </c>
      <c r="E21" s="29"/>
      <c r="F21" s="71"/>
      <c r="G21" s="27"/>
      <c r="H21" s="37">
        <f>IF(ISBLANK(G21),0,G21*C21)+IF(ISBLANK(F21),0,F21*objecturen2_1)</f>
        <v>0</v>
      </c>
      <c r="I21" s="37">
        <f>IF(C21=0,0,H21/C21)</f>
        <v>0</v>
      </c>
      <c r="J21" s="39">
        <f>IF(ISBLANK(E21),0,ROUND(E21,2)*H21)</f>
        <v>0</v>
      </c>
      <c r="K21" s="39">
        <f>J21/12</f>
        <v>0</v>
      </c>
    </row>
    <row r="22" spans="1:11" x14ac:dyDescent="0.2">
      <c r="A22" s="72" t="s">
        <v>228</v>
      </c>
      <c r="B22" s="41"/>
      <c r="C22" s="41"/>
      <c r="D22" s="41"/>
      <c r="E22" s="41"/>
      <c r="F22" s="41"/>
      <c r="G22" s="41"/>
      <c r="H22" s="42">
        <f>SUM(H17:H21)</f>
        <v>0</v>
      </c>
      <c r="I22" s="41"/>
      <c r="J22" s="43">
        <f>SUM(J17:J21)</f>
        <v>0</v>
      </c>
      <c r="K22" s="44">
        <f>SUM(K17:K21)</f>
        <v>0</v>
      </c>
    </row>
    <row r="23" spans="1:11" x14ac:dyDescent="0.2">
      <c r="A23" s="45"/>
      <c r="B23" s="41"/>
      <c r="C23" s="41"/>
      <c r="D23" s="41"/>
      <c r="E23" s="41"/>
      <c r="F23" s="41"/>
      <c r="G23" s="41"/>
      <c r="H23" s="41"/>
      <c r="I23" s="41"/>
      <c r="J23" s="41"/>
      <c r="K23" s="46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63" t="s">
        <v>229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222</v>
      </c>
      <c r="B26" s="15" t="s">
        <v>11</v>
      </c>
      <c r="C26" s="16">
        <f>IF(ISBLANK(B26),0,IF(ISERROR(VALUE(B26)),VLOOKUP(B26,dagsoorttabel1,2,FALSE)*dagenperjaar1,VALUE(B26)))</f>
        <v>235</v>
      </c>
      <c r="D26" s="15" t="s">
        <v>223</v>
      </c>
      <c r="E26" s="19"/>
      <c r="F26" s="18"/>
      <c r="G26" s="64"/>
      <c r="H26" s="30">
        <f>IF(ISBLANK(G26),0,G26*C26)+IF(ISBLANK(F26),0,F26*objecturen3_1)</f>
        <v>0</v>
      </c>
      <c r="I26" s="30">
        <f>IF(C26=0,0,H26/C26)</f>
        <v>0</v>
      </c>
      <c r="J26" s="32">
        <f>IF(ISBLANK(E26),0,ROUND(E26,2)*H26)</f>
        <v>0</v>
      </c>
      <c r="K26" s="32">
        <f>J26/12</f>
        <v>0</v>
      </c>
    </row>
    <row r="27" spans="1:11" x14ac:dyDescent="0.2">
      <c r="A27" s="20"/>
      <c r="B27" s="20"/>
      <c r="C27" s="65">
        <f>dagenperjaar1</f>
        <v>255</v>
      </c>
      <c r="D27" s="66" t="s">
        <v>224</v>
      </c>
      <c r="E27" s="24"/>
      <c r="F27" s="23"/>
      <c r="G27" s="67"/>
      <c r="H27" s="33">
        <f>IF(ISBLANK(G27),0,G27*C27)+IF(ISBLANK(F27),0,F27*objecturen3_1)</f>
        <v>0</v>
      </c>
      <c r="I27" s="33">
        <f>IF(C27=0,0,H27/C27)</f>
        <v>0</v>
      </c>
      <c r="J27" s="35">
        <f>IF(ISBLANK(E27),0,ROUND(E27,2)*H27)</f>
        <v>0</v>
      </c>
      <c r="K27" s="35">
        <f>J27/12</f>
        <v>0</v>
      </c>
    </row>
    <row r="28" spans="1:11" x14ac:dyDescent="0.2">
      <c r="A28" s="20"/>
      <c r="B28" s="20"/>
      <c r="C28" s="65">
        <f>dagenperjaar1</f>
        <v>255</v>
      </c>
      <c r="D28" s="66" t="s">
        <v>224</v>
      </c>
      <c r="E28" s="24"/>
      <c r="F28" s="23"/>
      <c r="G28" s="67"/>
      <c r="H28" s="33">
        <f>IF(ISBLANK(G28),0,G28*C28)+IF(ISBLANK(F28),0,F28*objecturen3_1)</f>
        <v>0</v>
      </c>
      <c r="I28" s="33">
        <f>IF(C28=0,0,H28/C28)</f>
        <v>0</v>
      </c>
      <c r="J28" s="35">
        <f>IF(ISBLANK(E28),0,ROUND(E28,2)*H28)</f>
        <v>0</v>
      </c>
      <c r="K28" s="35">
        <f>J28/12</f>
        <v>0</v>
      </c>
    </row>
    <row r="29" spans="1:11" x14ac:dyDescent="0.2">
      <c r="A29" s="20"/>
      <c r="B29" s="20"/>
      <c r="C29" s="65">
        <f>dagenperjaar1</f>
        <v>255</v>
      </c>
      <c r="D29" s="66" t="s">
        <v>225</v>
      </c>
      <c r="E29" s="24"/>
      <c r="F29" s="68"/>
      <c r="G29" s="22"/>
      <c r="H29" s="33">
        <f>IF(ISBLANK(G29),0,G29*C29)+IF(ISBLANK(F29),0,F29*objecturen3_1)</f>
        <v>0</v>
      </c>
      <c r="I29" s="33">
        <f>IF(C29=0,0,H29/C29)</f>
        <v>0</v>
      </c>
      <c r="J29" s="35">
        <f>IF(ISBLANK(E29),0,ROUND(E29,2)*H29)</f>
        <v>0</v>
      </c>
      <c r="K29" s="35">
        <f>J29/12</f>
        <v>0</v>
      </c>
    </row>
    <row r="30" spans="1:11" x14ac:dyDescent="0.2">
      <c r="A30" s="25"/>
      <c r="B30" s="25"/>
      <c r="C30" s="69">
        <f>dagenperjaar1</f>
        <v>255</v>
      </c>
      <c r="D30" s="70" t="s">
        <v>225</v>
      </c>
      <c r="E30" s="29"/>
      <c r="F30" s="71"/>
      <c r="G30" s="27"/>
      <c r="H30" s="37">
        <f>IF(ISBLANK(G30),0,G30*C30)+IF(ISBLANK(F30),0,F30*objecturen3_1)</f>
        <v>0</v>
      </c>
      <c r="I30" s="37">
        <f>IF(C30=0,0,H30/C30)</f>
        <v>0</v>
      </c>
      <c r="J30" s="39">
        <f>IF(ISBLANK(E30),0,ROUND(E30,2)*H30)</f>
        <v>0</v>
      </c>
      <c r="K30" s="39">
        <f>J30/12</f>
        <v>0</v>
      </c>
    </row>
    <row r="31" spans="1:11" x14ac:dyDescent="0.2">
      <c r="A31" s="72" t="s">
        <v>230</v>
      </c>
      <c r="B31" s="41"/>
      <c r="C31" s="41"/>
      <c r="D31" s="41"/>
      <c r="E31" s="41"/>
      <c r="F31" s="41"/>
      <c r="G31" s="41"/>
      <c r="H31" s="42">
        <f>SUM(H26:H30)</f>
        <v>0</v>
      </c>
      <c r="I31" s="41"/>
      <c r="J31" s="43">
        <f>SUM(J26:J30)</f>
        <v>0</v>
      </c>
      <c r="K31" s="44">
        <f>SUM(K26:K30)</f>
        <v>0</v>
      </c>
    </row>
    <row r="32" spans="1:11" x14ac:dyDescent="0.2">
      <c r="A32" s="45"/>
      <c r="B32" s="41"/>
      <c r="C32" s="41"/>
      <c r="D32" s="41"/>
      <c r="E32" s="41"/>
      <c r="F32" s="41"/>
      <c r="G32" s="41"/>
      <c r="H32" s="41"/>
      <c r="I32" s="41"/>
      <c r="J32" s="41"/>
      <c r="K32" s="46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63" t="s">
        <v>231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222</v>
      </c>
      <c r="B35" s="15" t="s">
        <v>11</v>
      </c>
      <c r="C35" s="16">
        <f>IF(ISBLANK(B35),0,IF(ISERROR(VALUE(B35)),VLOOKUP(B35,dagsoorttabel1,2,FALSE)*dagenperjaar1,VALUE(B35)))</f>
        <v>235</v>
      </c>
      <c r="D35" s="15" t="s">
        <v>223</v>
      </c>
      <c r="E35" s="19"/>
      <c r="F35" s="18"/>
      <c r="G35" s="64"/>
      <c r="H35" s="30">
        <f>IF(ISBLANK(G35),0,G35*C35)+IF(ISBLANK(F35),0,F35*objecturen4_1)</f>
        <v>0</v>
      </c>
      <c r="I35" s="30">
        <f>IF(C35=0,0,H35/C35)</f>
        <v>0</v>
      </c>
      <c r="J35" s="32">
        <f>IF(ISBLANK(E35),0,ROUND(E35,2)*H35)</f>
        <v>0</v>
      </c>
      <c r="K35" s="32">
        <f>J35/12</f>
        <v>0</v>
      </c>
    </row>
    <row r="36" spans="1:11" x14ac:dyDescent="0.2">
      <c r="A36" s="20"/>
      <c r="B36" s="20"/>
      <c r="C36" s="65">
        <f>dagenperjaar1</f>
        <v>255</v>
      </c>
      <c r="D36" s="66" t="s">
        <v>224</v>
      </c>
      <c r="E36" s="24"/>
      <c r="F36" s="23"/>
      <c r="G36" s="67"/>
      <c r="H36" s="33">
        <f>IF(ISBLANK(G36),0,G36*C36)+IF(ISBLANK(F36),0,F36*objecturen4_1)</f>
        <v>0</v>
      </c>
      <c r="I36" s="33">
        <f>IF(C36=0,0,H36/C36)</f>
        <v>0</v>
      </c>
      <c r="J36" s="35">
        <f>IF(ISBLANK(E36),0,ROUND(E36,2)*H36)</f>
        <v>0</v>
      </c>
      <c r="K36" s="35">
        <f>J36/12</f>
        <v>0</v>
      </c>
    </row>
    <row r="37" spans="1:11" x14ac:dyDescent="0.2">
      <c r="A37" s="20"/>
      <c r="B37" s="20"/>
      <c r="C37" s="65">
        <f>dagenperjaar1</f>
        <v>255</v>
      </c>
      <c r="D37" s="66" t="s">
        <v>224</v>
      </c>
      <c r="E37" s="24"/>
      <c r="F37" s="23"/>
      <c r="G37" s="67"/>
      <c r="H37" s="33">
        <f>IF(ISBLANK(G37),0,G37*C37)+IF(ISBLANK(F37),0,F37*objecturen4_1)</f>
        <v>0</v>
      </c>
      <c r="I37" s="33">
        <f>IF(C37=0,0,H37/C37)</f>
        <v>0</v>
      </c>
      <c r="J37" s="35">
        <f>IF(ISBLANK(E37),0,ROUND(E37,2)*H37)</f>
        <v>0</v>
      </c>
      <c r="K37" s="35">
        <f>J37/12</f>
        <v>0</v>
      </c>
    </row>
    <row r="38" spans="1:11" x14ac:dyDescent="0.2">
      <c r="A38" s="20"/>
      <c r="B38" s="20"/>
      <c r="C38" s="65">
        <f>dagenperjaar1</f>
        <v>255</v>
      </c>
      <c r="D38" s="66" t="s">
        <v>225</v>
      </c>
      <c r="E38" s="24"/>
      <c r="F38" s="68"/>
      <c r="G38" s="22"/>
      <c r="H38" s="33">
        <f>IF(ISBLANK(G38),0,G38*C38)+IF(ISBLANK(F38),0,F38*objecturen4_1)</f>
        <v>0</v>
      </c>
      <c r="I38" s="33">
        <f>IF(C38=0,0,H38/C38)</f>
        <v>0</v>
      </c>
      <c r="J38" s="35">
        <f>IF(ISBLANK(E38),0,ROUND(E38,2)*H38)</f>
        <v>0</v>
      </c>
      <c r="K38" s="35">
        <f>J38/12</f>
        <v>0</v>
      </c>
    </row>
    <row r="39" spans="1:11" x14ac:dyDescent="0.2">
      <c r="A39" s="25"/>
      <c r="B39" s="25"/>
      <c r="C39" s="69">
        <f>dagenperjaar1</f>
        <v>255</v>
      </c>
      <c r="D39" s="70" t="s">
        <v>225</v>
      </c>
      <c r="E39" s="29"/>
      <c r="F39" s="71"/>
      <c r="G39" s="27"/>
      <c r="H39" s="37">
        <f>IF(ISBLANK(G39),0,G39*C39)+IF(ISBLANK(F39),0,F39*objecturen4_1)</f>
        <v>0</v>
      </c>
      <c r="I39" s="37">
        <f>IF(C39=0,0,H39/C39)</f>
        <v>0</v>
      </c>
      <c r="J39" s="39">
        <f>IF(ISBLANK(E39),0,ROUND(E39,2)*H39)</f>
        <v>0</v>
      </c>
      <c r="K39" s="39">
        <f>J39/12</f>
        <v>0</v>
      </c>
    </row>
    <row r="40" spans="1:11" x14ac:dyDescent="0.2">
      <c r="A40" s="72" t="s">
        <v>232</v>
      </c>
      <c r="B40" s="41"/>
      <c r="C40" s="41"/>
      <c r="D40" s="41"/>
      <c r="E40" s="41"/>
      <c r="F40" s="41"/>
      <c r="G40" s="41"/>
      <c r="H40" s="42">
        <f>SUM(H35:H39)</f>
        <v>0</v>
      </c>
      <c r="I40" s="41"/>
      <c r="J40" s="43">
        <f>SUM(J35:J39)</f>
        <v>0</v>
      </c>
      <c r="K40" s="44">
        <f>SUM(K35:K39)</f>
        <v>0</v>
      </c>
    </row>
    <row r="41" spans="1:11" x14ac:dyDescent="0.2">
      <c r="A41" s="45"/>
      <c r="B41" s="41"/>
      <c r="C41" s="41"/>
      <c r="D41" s="41"/>
      <c r="E41" s="41"/>
      <c r="F41" s="41"/>
      <c r="G41" s="41"/>
      <c r="H41" s="41"/>
      <c r="I41" s="41"/>
      <c r="J41" s="41"/>
      <c r="K41" s="46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63" t="s">
        <v>233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222</v>
      </c>
      <c r="B44" s="15" t="s">
        <v>11</v>
      </c>
      <c r="C44" s="16">
        <f>IF(ISBLANK(B44),0,IF(ISERROR(VALUE(B44)),VLOOKUP(B44,dagsoorttabel1,2,FALSE)*dagenperjaar1,VALUE(B44)))</f>
        <v>235</v>
      </c>
      <c r="D44" s="15" t="s">
        <v>223</v>
      </c>
      <c r="E44" s="19"/>
      <c r="F44" s="18"/>
      <c r="G44" s="64"/>
      <c r="H44" s="30">
        <f>IF(ISBLANK(G44),0,G44*C44)+IF(ISBLANK(F44),0,F44*objecturen5_1)</f>
        <v>0</v>
      </c>
      <c r="I44" s="30">
        <f>IF(C44=0,0,H44/C44)</f>
        <v>0</v>
      </c>
      <c r="J44" s="32">
        <f>IF(ISBLANK(E44),0,ROUND(E44,2)*H44)</f>
        <v>0</v>
      </c>
      <c r="K44" s="32">
        <f>J44/12</f>
        <v>0</v>
      </c>
    </row>
    <row r="45" spans="1:11" x14ac:dyDescent="0.2">
      <c r="A45" s="20"/>
      <c r="B45" s="20"/>
      <c r="C45" s="65">
        <f>dagenperjaar1</f>
        <v>255</v>
      </c>
      <c r="D45" s="66" t="s">
        <v>224</v>
      </c>
      <c r="E45" s="24"/>
      <c r="F45" s="23"/>
      <c r="G45" s="67"/>
      <c r="H45" s="33">
        <f>IF(ISBLANK(G45),0,G45*C45)+IF(ISBLANK(F45),0,F45*objecturen5_1)</f>
        <v>0</v>
      </c>
      <c r="I45" s="33">
        <f>IF(C45=0,0,H45/C45)</f>
        <v>0</v>
      </c>
      <c r="J45" s="35">
        <f>IF(ISBLANK(E45),0,ROUND(E45,2)*H45)</f>
        <v>0</v>
      </c>
      <c r="K45" s="35">
        <f>J45/12</f>
        <v>0</v>
      </c>
    </row>
    <row r="46" spans="1:11" x14ac:dyDescent="0.2">
      <c r="A46" s="20"/>
      <c r="B46" s="20"/>
      <c r="C46" s="65">
        <f>dagenperjaar1</f>
        <v>255</v>
      </c>
      <c r="D46" s="66" t="s">
        <v>224</v>
      </c>
      <c r="E46" s="24"/>
      <c r="F46" s="23"/>
      <c r="G46" s="67"/>
      <c r="H46" s="33">
        <f>IF(ISBLANK(G46),0,G46*C46)+IF(ISBLANK(F46),0,F46*objecturen5_1)</f>
        <v>0</v>
      </c>
      <c r="I46" s="33">
        <f>IF(C46=0,0,H46/C46)</f>
        <v>0</v>
      </c>
      <c r="J46" s="35">
        <f>IF(ISBLANK(E46),0,ROUND(E46,2)*H46)</f>
        <v>0</v>
      </c>
      <c r="K46" s="35">
        <f>J46/12</f>
        <v>0</v>
      </c>
    </row>
    <row r="47" spans="1:11" x14ac:dyDescent="0.2">
      <c r="A47" s="20"/>
      <c r="B47" s="20"/>
      <c r="C47" s="65">
        <f>dagenperjaar1</f>
        <v>255</v>
      </c>
      <c r="D47" s="66" t="s">
        <v>225</v>
      </c>
      <c r="E47" s="24"/>
      <c r="F47" s="68"/>
      <c r="G47" s="22"/>
      <c r="H47" s="33">
        <f>IF(ISBLANK(G47),0,G47*C47)+IF(ISBLANK(F47),0,F47*objecturen5_1)</f>
        <v>0</v>
      </c>
      <c r="I47" s="33">
        <f>IF(C47=0,0,H47/C47)</f>
        <v>0</v>
      </c>
      <c r="J47" s="35">
        <f>IF(ISBLANK(E47),0,ROUND(E47,2)*H47)</f>
        <v>0</v>
      </c>
      <c r="K47" s="35">
        <f>J47/12</f>
        <v>0</v>
      </c>
    </row>
    <row r="48" spans="1:11" x14ac:dyDescent="0.2">
      <c r="A48" s="25"/>
      <c r="B48" s="25"/>
      <c r="C48" s="69">
        <f>dagenperjaar1</f>
        <v>255</v>
      </c>
      <c r="D48" s="70" t="s">
        <v>225</v>
      </c>
      <c r="E48" s="29"/>
      <c r="F48" s="71"/>
      <c r="G48" s="27"/>
      <c r="H48" s="37">
        <f>IF(ISBLANK(G48),0,G48*C48)+IF(ISBLANK(F48),0,F48*objecturen5_1)</f>
        <v>0</v>
      </c>
      <c r="I48" s="37">
        <f>IF(C48=0,0,H48/C48)</f>
        <v>0</v>
      </c>
      <c r="J48" s="39">
        <f>IF(ISBLANK(E48),0,ROUND(E48,2)*H48)</f>
        <v>0</v>
      </c>
      <c r="K48" s="39">
        <f>J48/12</f>
        <v>0</v>
      </c>
    </row>
    <row r="49" spans="1:11" x14ac:dyDescent="0.2">
      <c r="A49" s="72" t="s">
        <v>234</v>
      </c>
      <c r="B49" s="41"/>
      <c r="C49" s="41"/>
      <c r="D49" s="41"/>
      <c r="E49" s="41"/>
      <c r="F49" s="41"/>
      <c r="G49" s="41"/>
      <c r="H49" s="42">
        <f>SUM(H44:H48)</f>
        <v>0</v>
      </c>
      <c r="I49" s="41"/>
      <c r="J49" s="43">
        <f>SUM(J44:J48)</f>
        <v>0</v>
      </c>
      <c r="K49" s="44">
        <f>SUM(K44:K48)</f>
        <v>0</v>
      </c>
    </row>
    <row r="50" spans="1:11" x14ac:dyDescent="0.2">
      <c r="A50" s="45"/>
      <c r="B50" s="41"/>
      <c r="C50" s="41"/>
      <c r="D50" s="41"/>
      <c r="E50" s="41"/>
      <c r="F50" s="41"/>
      <c r="G50" s="41"/>
      <c r="H50" s="41"/>
      <c r="I50" s="41"/>
      <c r="J50" s="41"/>
      <c r="K50" s="46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63" t="s">
        <v>235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222</v>
      </c>
      <c r="B53" s="15" t="s">
        <v>11</v>
      </c>
      <c r="C53" s="16">
        <f>IF(ISBLANK(B53),0,IF(ISERROR(VALUE(B53)),VLOOKUP(B53,dagsoorttabel1,2,FALSE)*dagenperjaar1,VALUE(B53)))</f>
        <v>235</v>
      </c>
      <c r="D53" s="15" t="s">
        <v>223</v>
      </c>
      <c r="E53" s="19"/>
      <c r="F53" s="18"/>
      <c r="G53" s="64"/>
      <c r="H53" s="30">
        <f>IF(ISBLANK(G53),0,G53*C53)+IF(ISBLANK(F53),0,F53*objecturen6_1)</f>
        <v>0</v>
      </c>
      <c r="I53" s="30">
        <f>IF(C53=0,0,H53/C53)</f>
        <v>0</v>
      </c>
      <c r="J53" s="32">
        <f>IF(ISBLANK(E53),0,ROUND(E53,2)*H53)</f>
        <v>0</v>
      </c>
      <c r="K53" s="32">
        <f>J53/12</f>
        <v>0</v>
      </c>
    </row>
    <row r="54" spans="1:11" x14ac:dyDescent="0.2">
      <c r="A54" s="20"/>
      <c r="B54" s="20"/>
      <c r="C54" s="65">
        <f>dagenperjaar1</f>
        <v>255</v>
      </c>
      <c r="D54" s="66" t="s">
        <v>224</v>
      </c>
      <c r="E54" s="24"/>
      <c r="F54" s="23"/>
      <c r="G54" s="67"/>
      <c r="H54" s="33">
        <f>IF(ISBLANK(G54),0,G54*C54)+IF(ISBLANK(F54),0,F54*objecturen6_1)</f>
        <v>0</v>
      </c>
      <c r="I54" s="33">
        <f>IF(C54=0,0,H54/C54)</f>
        <v>0</v>
      </c>
      <c r="J54" s="35">
        <f>IF(ISBLANK(E54),0,ROUND(E54,2)*H54)</f>
        <v>0</v>
      </c>
      <c r="K54" s="35">
        <f>J54/12</f>
        <v>0</v>
      </c>
    </row>
    <row r="55" spans="1:11" x14ac:dyDescent="0.2">
      <c r="A55" s="20"/>
      <c r="B55" s="20"/>
      <c r="C55" s="65">
        <f>dagenperjaar1</f>
        <v>255</v>
      </c>
      <c r="D55" s="66" t="s">
        <v>224</v>
      </c>
      <c r="E55" s="24"/>
      <c r="F55" s="23"/>
      <c r="G55" s="67"/>
      <c r="H55" s="33">
        <f>IF(ISBLANK(G55),0,G55*C55)+IF(ISBLANK(F55),0,F55*objecturen6_1)</f>
        <v>0</v>
      </c>
      <c r="I55" s="33">
        <f>IF(C55=0,0,H55/C55)</f>
        <v>0</v>
      </c>
      <c r="J55" s="35">
        <f>IF(ISBLANK(E55),0,ROUND(E55,2)*H55)</f>
        <v>0</v>
      </c>
      <c r="K55" s="35">
        <f>J55/12</f>
        <v>0</v>
      </c>
    </row>
    <row r="56" spans="1:11" x14ac:dyDescent="0.2">
      <c r="A56" s="20"/>
      <c r="B56" s="20"/>
      <c r="C56" s="65">
        <f>dagenperjaar1</f>
        <v>255</v>
      </c>
      <c r="D56" s="66" t="s">
        <v>225</v>
      </c>
      <c r="E56" s="24"/>
      <c r="F56" s="68"/>
      <c r="G56" s="22"/>
      <c r="H56" s="33">
        <f>IF(ISBLANK(G56),0,G56*C56)+IF(ISBLANK(F56),0,F56*objecturen6_1)</f>
        <v>0</v>
      </c>
      <c r="I56" s="33">
        <f>IF(C56=0,0,H56/C56)</f>
        <v>0</v>
      </c>
      <c r="J56" s="35">
        <f>IF(ISBLANK(E56),0,ROUND(E56,2)*H56)</f>
        <v>0</v>
      </c>
      <c r="K56" s="35">
        <f>J56/12</f>
        <v>0</v>
      </c>
    </row>
    <row r="57" spans="1:11" x14ac:dyDescent="0.2">
      <c r="A57" s="25"/>
      <c r="B57" s="25"/>
      <c r="C57" s="69">
        <f>dagenperjaar1</f>
        <v>255</v>
      </c>
      <c r="D57" s="70" t="s">
        <v>225</v>
      </c>
      <c r="E57" s="29"/>
      <c r="F57" s="71"/>
      <c r="G57" s="27"/>
      <c r="H57" s="37">
        <f>IF(ISBLANK(G57),0,G57*C57)+IF(ISBLANK(F57),0,F57*objecturen6_1)</f>
        <v>0</v>
      </c>
      <c r="I57" s="37">
        <f>IF(C57=0,0,H57/C57)</f>
        <v>0</v>
      </c>
      <c r="J57" s="39">
        <f>IF(ISBLANK(E57),0,ROUND(E57,2)*H57)</f>
        <v>0</v>
      </c>
      <c r="K57" s="39">
        <f>J57/12</f>
        <v>0</v>
      </c>
    </row>
    <row r="58" spans="1:11" x14ac:dyDescent="0.2">
      <c r="A58" s="72" t="s">
        <v>236</v>
      </c>
      <c r="B58" s="41"/>
      <c r="C58" s="41"/>
      <c r="D58" s="41"/>
      <c r="E58" s="41"/>
      <c r="F58" s="41"/>
      <c r="G58" s="41"/>
      <c r="H58" s="42">
        <f>SUM(H53:H57)</f>
        <v>0</v>
      </c>
      <c r="I58" s="41"/>
      <c r="J58" s="43">
        <f>SUM(J53:J57)</f>
        <v>0</v>
      </c>
      <c r="K58" s="44">
        <f>SUM(K53:K57)</f>
        <v>0</v>
      </c>
    </row>
    <row r="59" spans="1:11" x14ac:dyDescent="0.2">
      <c r="A59" s="45"/>
      <c r="B59" s="41"/>
      <c r="C59" s="41"/>
      <c r="D59" s="41"/>
      <c r="E59" s="41"/>
      <c r="F59" s="41"/>
      <c r="G59" s="41"/>
      <c r="H59" s="41"/>
      <c r="I59" s="41"/>
      <c r="J59" s="41"/>
      <c r="K59" s="46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63" t="s">
        <v>237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222</v>
      </c>
      <c r="B62" s="15" t="s">
        <v>10</v>
      </c>
      <c r="C62" s="16">
        <f>IF(ISBLANK(B62),0,IF(ISERROR(VALUE(B62)),VLOOKUP(B62,dagsoorttabel1,2,FALSE)*dagenperjaar1,VALUE(B62)))</f>
        <v>255</v>
      </c>
      <c r="D62" s="15" t="s">
        <v>223</v>
      </c>
      <c r="E62" s="19"/>
      <c r="F62" s="18"/>
      <c r="G62" s="64"/>
      <c r="H62" s="30">
        <f>IF(ISBLANK(G62),0,G62*C62)+IF(ISBLANK(F62),0,F62*objecturen7_1)</f>
        <v>0</v>
      </c>
      <c r="I62" s="30">
        <f>IF(C62=0,0,H62/C62)</f>
        <v>0</v>
      </c>
      <c r="J62" s="32">
        <f>IF(ISBLANK(E62),0,ROUND(E62,2)*H62)</f>
        <v>0</v>
      </c>
      <c r="K62" s="32">
        <f>J62/12</f>
        <v>0</v>
      </c>
    </row>
    <row r="63" spans="1:11" x14ac:dyDescent="0.2">
      <c r="A63" s="20"/>
      <c r="B63" s="20"/>
      <c r="C63" s="65">
        <f>dagenperjaar1</f>
        <v>255</v>
      </c>
      <c r="D63" s="66" t="s">
        <v>224</v>
      </c>
      <c r="E63" s="24"/>
      <c r="F63" s="23"/>
      <c r="G63" s="67"/>
      <c r="H63" s="33">
        <f>IF(ISBLANK(G63),0,G63*C63)+IF(ISBLANK(F63),0,F63*objecturen7_1)</f>
        <v>0</v>
      </c>
      <c r="I63" s="33">
        <f>IF(C63=0,0,H63/C63)</f>
        <v>0</v>
      </c>
      <c r="J63" s="35">
        <f>IF(ISBLANK(E63),0,ROUND(E63,2)*H63)</f>
        <v>0</v>
      </c>
      <c r="K63" s="35">
        <f>J63/12</f>
        <v>0</v>
      </c>
    </row>
    <row r="64" spans="1:11" x14ac:dyDescent="0.2">
      <c r="A64" s="20"/>
      <c r="B64" s="20"/>
      <c r="C64" s="65">
        <f>dagenperjaar1</f>
        <v>255</v>
      </c>
      <c r="D64" s="66" t="s">
        <v>224</v>
      </c>
      <c r="E64" s="24"/>
      <c r="F64" s="23"/>
      <c r="G64" s="67"/>
      <c r="H64" s="33">
        <f>IF(ISBLANK(G64),0,G64*C64)+IF(ISBLANK(F64),0,F64*objecturen7_1)</f>
        <v>0</v>
      </c>
      <c r="I64" s="33">
        <f>IF(C64=0,0,H64/C64)</f>
        <v>0</v>
      </c>
      <c r="J64" s="35">
        <f>IF(ISBLANK(E64),0,ROUND(E64,2)*H64)</f>
        <v>0</v>
      </c>
      <c r="K64" s="35">
        <f>J64/12</f>
        <v>0</v>
      </c>
    </row>
    <row r="65" spans="1:11" x14ac:dyDescent="0.2">
      <c r="A65" s="20"/>
      <c r="B65" s="20"/>
      <c r="C65" s="65">
        <f>dagenperjaar1</f>
        <v>255</v>
      </c>
      <c r="D65" s="66" t="s">
        <v>225</v>
      </c>
      <c r="E65" s="24"/>
      <c r="F65" s="68"/>
      <c r="G65" s="22"/>
      <c r="H65" s="33">
        <f>IF(ISBLANK(G65),0,G65*C65)+IF(ISBLANK(F65),0,F65*objecturen7_1)</f>
        <v>0</v>
      </c>
      <c r="I65" s="33">
        <f>IF(C65=0,0,H65/C65)</f>
        <v>0</v>
      </c>
      <c r="J65" s="35">
        <f>IF(ISBLANK(E65),0,ROUND(E65,2)*H65)</f>
        <v>0</v>
      </c>
      <c r="K65" s="35">
        <f>J65/12</f>
        <v>0</v>
      </c>
    </row>
    <row r="66" spans="1:11" x14ac:dyDescent="0.2">
      <c r="A66" s="25"/>
      <c r="B66" s="25"/>
      <c r="C66" s="69">
        <f>dagenperjaar1</f>
        <v>255</v>
      </c>
      <c r="D66" s="70" t="s">
        <v>225</v>
      </c>
      <c r="E66" s="29"/>
      <c r="F66" s="71"/>
      <c r="G66" s="27"/>
      <c r="H66" s="37">
        <f>IF(ISBLANK(G66),0,G66*C66)+IF(ISBLANK(F66),0,F66*objecturen7_1)</f>
        <v>0</v>
      </c>
      <c r="I66" s="37">
        <f>IF(C66=0,0,H66/C66)</f>
        <v>0</v>
      </c>
      <c r="J66" s="39">
        <f>IF(ISBLANK(E66),0,ROUND(E66,2)*H66)</f>
        <v>0</v>
      </c>
      <c r="K66" s="39">
        <f>J66/12</f>
        <v>0</v>
      </c>
    </row>
    <row r="67" spans="1:11" x14ac:dyDescent="0.2">
      <c r="A67" s="72" t="s">
        <v>238</v>
      </c>
      <c r="B67" s="41"/>
      <c r="C67" s="41"/>
      <c r="D67" s="41"/>
      <c r="E67" s="41"/>
      <c r="F67" s="41"/>
      <c r="G67" s="41"/>
      <c r="H67" s="42">
        <f>SUM(H62:H66)</f>
        <v>0</v>
      </c>
      <c r="I67" s="41"/>
      <c r="J67" s="43">
        <f>SUM(J62:J66)</f>
        <v>0</v>
      </c>
      <c r="K67" s="44">
        <f>SUM(K62:K66)</f>
        <v>0</v>
      </c>
    </row>
    <row r="68" spans="1:11" x14ac:dyDescent="0.2">
      <c r="A68" s="45"/>
      <c r="B68" s="41"/>
      <c r="C68" s="41"/>
      <c r="D68" s="41"/>
      <c r="E68" s="41"/>
      <c r="F68" s="41"/>
      <c r="G68" s="41"/>
      <c r="H68" s="41"/>
      <c r="I68" s="41"/>
      <c r="J68" s="41"/>
      <c r="K68" s="46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63" t="s">
        <v>239</v>
      </c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x14ac:dyDescent="0.2">
      <c r="A71" s="15" t="s">
        <v>222</v>
      </c>
      <c r="B71" s="15" t="s">
        <v>11</v>
      </c>
      <c r="C71" s="16">
        <f>IF(ISBLANK(B71),0,IF(ISERROR(VALUE(B71)),VLOOKUP(B71,dagsoorttabel1,2,FALSE)*dagenperjaar1,VALUE(B71)))</f>
        <v>235</v>
      </c>
      <c r="D71" s="15" t="s">
        <v>223</v>
      </c>
      <c r="E71" s="19"/>
      <c r="F71" s="18"/>
      <c r="G71" s="64"/>
      <c r="H71" s="30">
        <f>IF(ISBLANK(G71),0,G71*C71)+IF(ISBLANK(F71),0,F71*objecturen8_1)</f>
        <v>0</v>
      </c>
      <c r="I71" s="30">
        <f>IF(C71=0,0,H71/C71)</f>
        <v>0</v>
      </c>
      <c r="J71" s="32">
        <f>IF(ISBLANK(E71),0,ROUND(E71,2)*H71)</f>
        <v>0</v>
      </c>
      <c r="K71" s="32">
        <f>J71/12</f>
        <v>0</v>
      </c>
    </row>
    <row r="72" spans="1:11" x14ac:dyDescent="0.2">
      <c r="A72" s="20"/>
      <c r="B72" s="20"/>
      <c r="C72" s="65">
        <f>dagenperjaar1</f>
        <v>255</v>
      </c>
      <c r="D72" s="66" t="s">
        <v>224</v>
      </c>
      <c r="E72" s="24"/>
      <c r="F72" s="23"/>
      <c r="G72" s="67"/>
      <c r="H72" s="33">
        <f>IF(ISBLANK(G72),0,G72*C72)+IF(ISBLANK(F72),0,F72*objecturen8_1)</f>
        <v>0</v>
      </c>
      <c r="I72" s="33">
        <f>IF(C72=0,0,H72/C72)</f>
        <v>0</v>
      </c>
      <c r="J72" s="35">
        <f>IF(ISBLANK(E72),0,ROUND(E72,2)*H72)</f>
        <v>0</v>
      </c>
      <c r="K72" s="35">
        <f>J72/12</f>
        <v>0</v>
      </c>
    </row>
    <row r="73" spans="1:11" x14ac:dyDescent="0.2">
      <c r="A73" s="20"/>
      <c r="B73" s="20"/>
      <c r="C73" s="65">
        <f>dagenperjaar1</f>
        <v>255</v>
      </c>
      <c r="D73" s="66" t="s">
        <v>224</v>
      </c>
      <c r="E73" s="24"/>
      <c r="F73" s="23"/>
      <c r="G73" s="67"/>
      <c r="H73" s="33">
        <f>IF(ISBLANK(G73),0,G73*C73)+IF(ISBLANK(F73),0,F73*objecturen8_1)</f>
        <v>0</v>
      </c>
      <c r="I73" s="33">
        <f>IF(C73=0,0,H73/C73)</f>
        <v>0</v>
      </c>
      <c r="J73" s="35">
        <f>IF(ISBLANK(E73),0,ROUND(E73,2)*H73)</f>
        <v>0</v>
      </c>
      <c r="K73" s="35">
        <f>J73/12</f>
        <v>0</v>
      </c>
    </row>
    <row r="74" spans="1:11" x14ac:dyDescent="0.2">
      <c r="A74" s="20"/>
      <c r="B74" s="20"/>
      <c r="C74" s="65">
        <f>dagenperjaar1</f>
        <v>255</v>
      </c>
      <c r="D74" s="66" t="s">
        <v>225</v>
      </c>
      <c r="E74" s="24"/>
      <c r="F74" s="68"/>
      <c r="G74" s="22"/>
      <c r="H74" s="33">
        <f>IF(ISBLANK(G74),0,G74*C74)+IF(ISBLANK(F74),0,F74*objecturen8_1)</f>
        <v>0</v>
      </c>
      <c r="I74" s="33">
        <f>IF(C74=0,0,H74/C74)</f>
        <v>0</v>
      </c>
      <c r="J74" s="35">
        <f>IF(ISBLANK(E74),0,ROUND(E74,2)*H74)</f>
        <v>0</v>
      </c>
      <c r="K74" s="35">
        <f>J74/12</f>
        <v>0</v>
      </c>
    </row>
    <row r="75" spans="1:11" x14ac:dyDescent="0.2">
      <c r="A75" s="25"/>
      <c r="B75" s="25"/>
      <c r="C75" s="69">
        <f>dagenperjaar1</f>
        <v>255</v>
      </c>
      <c r="D75" s="70" t="s">
        <v>225</v>
      </c>
      <c r="E75" s="29"/>
      <c r="F75" s="71"/>
      <c r="G75" s="27"/>
      <c r="H75" s="37">
        <f>IF(ISBLANK(G75),0,G75*C75)+IF(ISBLANK(F75),0,F75*objecturen8_1)</f>
        <v>0</v>
      </c>
      <c r="I75" s="37">
        <f>IF(C75=0,0,H75/C75)</f>
        <v>0</v>
      </c>
      <c r="J75" s="39">
        <f>IF(ISBLANK(E75),0,ROUND(E75,2)*H75)</f>
        <v>0</v>
      </c>
      <c r="K75" s="39">
        <f>J75/12</f>
        <v>0</v>
      </c>
    </row>
    <row r="76" spans="1:11" x14ac:dyDescent="0.2">
      <c r="A76" s="72" t="s">
        <v>240</v>
      </c>
      <c r="B76" s="41"/>
      <c r="C76" s="41"/>
      <c r="D76" s="41"/>
      <c r="E76" s="41"/>
      <c r="F76" s="41"/>
      <c r="G76" s="41"/>
      <c r="H76" s="42">
        <f>SUM(H71:H75)</f>
        <v>0</v>
      </c>
      <c r="I76" s="41"/>
      <c r="J76" s="43">
        <f>SUM(J71:J75)</f>
        <v>0</v>
      </c>
      <c r="K76" s="44">
        <f>SUM(K71:K75)</f>
        <v>0</v>
      </c>
    </row>
    <row r="77" spans="1:11" x14ac:dyDescent="0.2">
      <c r="A77" s="45"/>
      <c r="B77" s="41"/>
      <c r="C77" s="41"/>
      <c r="D77" s="41"/>
      <c r="E77" s="41"/>
      <c r="F77" s="41"/>
      <c r="G77" s="41"/>
      <c r="H77" s="41"/>
      <c r="I77" s="41"/>
      <c r="J77" s="41"/>
      <c r="K77" s="46"/>
    </row>
    <row r="78" spans="1:11" x14ac:dyDescent="0.2">
      <c r="A78" s="40" t="s">
        <v>160</v>
      </c>
      <c r="B78" s="41"/>
      <c r="C78" s="41"/>
      <c r="D78" s="41"/>
      <c r="E78" s="41"/>
      <c r="F78" s="41"/>
      <c r="G78" s="41"/>
      <c r="H78" s="42">
        <f>tzujt1_1+tzujt2_1+tzujt3_1+tzujt4_1+tzujt5_1+tzujt6_1+tzujt7_1+tzujt8_1</f>
        <v>0</v>
      </c>
      <c r="I78" s="41"/>
      <c r="J78" s="43">
        <f>tzpjt1_1+tzpjt2_1+tzpjt3_1+tzpjt4_1+tzpjt5_1+tzpjt6_1+tzpjt7_1+tzpjt8_1</f>
        <v>0</v>
      </c>
      <c r="K78" s="44">
        <f>tzpmt1_1+tzpmt2_1+tzpmt3_1+tzpmt4_1+tzpmt5_1+tzpmt6_1+tzpmt7_1+tzpmt8_1</f>
        <v>0</v>
      </c>
    </row>
    <row r="79" spans="1:11" x14ac:dyDescent="0.2">
      <c r="A79" s="45"/>
      <c r="B79" s="41"/>
      <c r="C79" s="41"/>
      <c r="D79" s="41"/>
      <c r="E79" s="41"/>
      <c r="F79" s="41"/>
      <c r="G79" s="41"/>
      <c r="H79" s="41"/>
      <c r="I79" s="41"/>
      <c r="J79" s="41"/>
      <c r="K79" s="46"/>
    </row>
    <row r="81" spans="1:11" x14ac:dyDescent="0.2">
      <c r="A81" s="40" t="s">
        <v>241</v>
      </c>
      <c r="B81" s="41"/>
      <c r="C81" s="41"/>
      <c r="D81" s="41"/>
      <c r="E81" s="41"/>
      <c r="F81" s="41"/>
      <c r="G81" s="41"/>
      <c r="H81" s="42">
        <f>tzujt1</f>
        <v>0</v>
      </c>
      <c r="I81" s="41"/>
      <c r="J81" s="43">
        <f>tzpjt1</f>
        <v>0</v>
      </c>
      <c r="K81" s="43">
        <f>tzpmt1</f>
        <v>0</v>
      </c>
    </row>
    <row r="83" spans="1:11" x14ac:dyDescent="0.2">
      <c r="A83" s="40" t="s">
        <v>242</v>
      </c>
      <c r="B83" s="41"/>
      <c r="C83" s="41"/>
      <c r="D83" s="41"/>
      <c r="E83" s="41"/>
      <c r="F83" s="41"/>
      <c r="G83" s="41"/>
      <c r="H83" s="41"/>
      <c r="I83" s="41"/>
      <c r="J83" s="43">
        <f>J81*1.21</f>
        <v>0</v>
      </c>
      <c r="K83" s="43">
        <f>K81*1.21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SOMA College EA 2022                              &amp;ROpmaakdatum: 20-12-2021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32F6-C7D5-42D9-A15E-78E8CF080A67}">
  <dimension ref="A1:L13"/>
  <sheetViews>
    <sheetView workbookViewId="0">
      <selection activeCell="C30" sqref="C30"/>
    </sheetView>
  </sheetViews>
  <sheetFormatPr defaultRowHeight="12.75" x14ac:dyDescent="0.2"/>
  <cols>
    <col min="1" max="1" width="8.625" customWidth="1"/>
    <col min="2" max="2" width="10.625" customWidth="1"/>
    <col min="3" max="3" width="32.625" customWidth="1"/>
    <col min="4" max="4" width="20.625" customWidth="1"/>
    <col min="5" max="5" width="18.625" customWidth="1"/>
    <col min="6" max="6" width="12.625" customWidth="1"/>
    <col min="7" max="12" width="13.625" customWidth="1"/>
  </cols>
  <sheetData>
    <row r="1" spans="1:12" x14ac:dyDescent="0.2">
      <c r="A1" s="1" t="str">
        <f>CONCATENATE("Bijlage I.5: ",tabeltype," totaalblad objecten")</f>
        <v>Bijlage I.5: Invultabel totaalblad objecten</v>
      </c>
    </row>
    <row r="3" spans="1:12" ht="38.25" x14ac:dyDescent="0.2">
      <c r="A3" s="8" t="s">
        <v>179</v>
      </c>
      <c r="B3" s="8" t="s">
        <v>243</v>
      </c>
      <c r="C3" s="8" t="s">
        <v>180</v>
      </c>
      <c r="D3" s="8" t="s">
        <v>181</v>
      </c>
      <c r="E3" s="8" t="s">
        <v>182</v>
      </c>
      <c r="F3" s="8" t="s">
        <v>111</v>
      </c>
      <c r="G3" s="8" t="s">
        <v>244</v>
      </c>
      <c r="H3" s="8" t="s">
        <v>245</v>
      </c>
      <c r="I3" s="8" t="s">
        <v>246</v>
      </c>
      <c r="J3" s="8" t="s">
        <v>247</v>
      </c>
      <c r="K3" s="8" t="s">
        <v>248</v>
      </c>
      <c r="L3" s="8" t="s">
        <v>249</v>
      </c>
    </row>
    <row r="4" spans="1:12" x14ac:dyDescent="0.2">
      <c r="A4" s="15" t="s">
        <v>192</v>
      </c>
      <c r="B4" s="15" t="s">
        <v>250</v>
      </c>
      <c r="C4" s="15" t="s">
        <v>193</v>
      </c>
      <c r="D4" s="15" t="s">
        <v>194</v>
      </c>
      <c r="E4" s="15" t="s">
        <v>195</v>
      </c>
      <c r="F4" s="30">
        <f>objecturen1_1</f>
        <v>0</v>
      </c>
      <c r="G4" s="32">
        <f>objectprijs1_1</f>
        <v>0</v>
      </c>
      <c r="H4" s="30">
        <f>tzujt1_1</f>
        <v>0</v>
      </c>
      <c r="I4" s="32">
        <f>tzpjt1_1</f>
        <v>0</v>
      </c>
      <c r="J4" s="32">
        <f t="shared" ref="J4:J11" si="0">G4+I4</f>
        <v>0</v>
      </c>
      <c r="K4" s="32">
        <f t="shared" ref="K4:K11" si="1">J4/12</f>
        <v>0</v>
      </c>
      <c r="L4" s="32">
        <f t="shared" ref="L4:L11" si="2">K4*1.21</f>
        <v>0</v>
      </c>
    </row>
    <row r="5" spans="1:12" x14ac:dyDescent="0.2">
      <c r="A5" s="20" t="s">
        <v>196</v>
      </c>
      <c r="B5" s="20" t="s">
        <v>250</v>
      </c>
      <c r="C5" s="20" t="s">
        <v>197</v>
      </c>
      <c r="D5" s="20" t="s">
        <v>194</v>
      </c>
      <c r="E5" s="20" t="s">
        <v>195</v>
      </c>
      <c r="F5" s="33">
        <f>objecturen2_1</f>
        <v>0</v>
      </c>
      <c r="G5" s="35">
        <f>objectprijs2_1</f>
        <v>0</v>
      </c>
      <c r="H5" s="33">
        <f>tzujt2_1</f>
        <v>0</v>
      </c>
      <c r="I5" s="35">
        <f>tzpjt2_1</f>
        <v>0</v>
      </c>
      <c r="J5" s="35">
        <f t="shared" si="0"/>
        <v>0</v>
      </c>
      <c r="K5" s="35">
        <f t="shared" si="1"/>
        <v>0</v>
      </c>
      <c r="L5" s="35">
        <f t="shared" si="2"/>
        <v>0</v>
      </c>
    </row>
    <row r="6" spans="1:12" x14ac:dyDescent="0.2">
      <c r="A6" s="20" t="s">
        <v>198</v>
      </c>
      <c r="B6" s="20" t="s">
        <v>250</v>
      </c>
      <c r="C6" s="20" t="s">
        <v>199</v>
      </c>
      <c r="D6" s="20" t="s">
        <v>194</v>
      </c>
      <c r="E6" s="20" t="s">
        <v>195</v>
      </c>
      <c r="F6" s="33">
        <f>objecturen3_1</f>
        <v>0</v>
      </c>
      <c r="G6" s="35">
        <f>objectprijs3_1</f>
        <v>0</v>
      </c>
      <c r="H6" s="33">
        <f>tzujt3_1</f>
        <v>0</v>
      </c>
      <c r="I6" s="35">
        <f>tzpjt3_1</f>
        <v>0</v>
      </c>
      <c r="J6" s="35">
        <f t="shared" si="0"/>
        <v>0</v>
      </c>
      <c r="K6" s="35">
        <f t="shared" si="1"/>
        <v>0</v>
      </c>
      <c r="L6" s="35">
        <f t="shared" si="2"/>
        <v>0</v>
      </c>
    </row>
    <row r="7" spans="1:12" x14ac:dyDescent="0.2">
      <c r="A7" s="20" t="s">
        <v>200</v>
      </c>
      <c r="B7" s="20" t="s">
        <v>250</v>
      </c>
      <c r="C7" s="20" t="s">
        <v>201</v>
      </c>
      <c r="D7" s="20" t="s">
        <v>194</v>
      </c>
      <c r="E7" s="20" t="s">
        <v>195</v>
      </c>
      <c r="F7" s="33">
        <f>objecturen4_1</f>
        <v>0</v>
      </c>
      <c r="G7" s="35">
        <f>objectprijs4_1</f>
        <v>0</v>
      </c>
      <c r="H7" s="33">
        <f>tzujt4_1</f>
        <v>0</v>
      </c>
      <c r="I7" s="35">
        <f>tzpjt4_1</f>
        <v>0</v>
      </c>
      <c r="J7" s="35">
        <f t="shared" si="0"/>
        <v>0</v>
      </c>
      <c r="K7" s="35">
        <f t="shared" si="1"/>
        <v>0</v>
      </c>
      <c r="L7" s="35">
        <f t="shared" si="2"/>
        <v>0</v>
      </c>
    </row>
    <row r="8" spans="1:12" x14ac:dyDescent="0.2">
      <c r="A8" s="20" t="s">
        <v>202</v>
      </c>
      <c r="B8" s="20" t="s">
        <v>250</v>
      </c>
      <c r="C8" s="20" t="s">
        <v>203</v>
      </c>
      <c r="D8" s="20" t="s">
        <v>194</v>
      </c>
      <c r="E8" s="20" t="s">
        <v>195</v>
      </c>
      <c r="F8" s="33">
        <f>objecturen5_1</f>
        <v>0</v>
      </c>
      <c r="G8" s="35">
        <f>objectprijs5_1</f>
        <v>0</v>
      </c>
      <c r="H8" s="33">
        <f>tzujt5_1</f>
        <v>0</v>
      </c>
      <c r="I8" s="35">
        <f>tzpjt5_1</f>
        <v>0</v>
      </c>
      <c r="J8" s="35">
        <f t="shared" si="0"/>
        <v>0</v>
      </c>
      <c r="K8" s="35">
        <f t="shared" si="1"/>
        <v>0</v>
      </c>
      <c r="L8" s="35">
        <f t="shared" si="2"/>
        <v>0</v>
      </c>
    </row>
    <row r="9" spans="1:12" x14ac:dyDescent="0.2">
      <c r="A9" s="20" t="s">
        <v>204</v>
      </c>
      <c r="B9" s="20" t="s">
        <v>250</v>
      </c>
      <c r="C9" s="20" t="s">
        <v>205</v>
      </c>
      <c r="D9" s="20" t="s">
        <v>194</v>
      </c>
      <c r="E9" s="20" t="s">
        <v>195</v>
      </c>
      <c r="F9" s="33">
        <f>objecturen6_1</f>
        <v>0</v>
      </c>
      <c r="G9" s="35">
        <f>objectprijs6_1</f>
        <v>0</v>
      </c>
      <c r="H9" s="33">
        <f>tzujt6_1</f>
        <v>0</v>
      </c>
      <c r="I9" s="35">
        <f>tzpjt6_1</f>
        <v>0</v>
      </c>
      <c r="J9" s="35">
        <f t="shared" si="0"/>
        <v>0</v>
      </c>
      <c r="K9" s="35">
        <f t="shared" si="1"/>
        <v>0</v>
      </c>
      <c r="L9" s="35">
        <f t="shared" si="2"/>
        <v>0</v>
      </c>
    </row>
    <row r="10" spans="1:12" x14ac:dyDescent="0.2">
      <c r="A10" s="20" t="s">
        <v>206</v>
      </c>
      <c r="B10" s="20" t="s">
        <v>250</v>
      </c>
      <c r="C10" s="20" t="s">
        <v>207</v>
      </c>
      <c r="D10" s="20" t="s">
        <v>194</v>
      </c>
      <c r="E10" s="20" t="s">
        <v>195</v>
      </c>
      <c r="F10" s="33">
        <f>objecturen7_1</f>
        <v>0</v>
      </c>
      <c r="G10" s="35">
        <f>objectprijs7_1</f>
        <v>0</v>
      </c>
      <c r="H10" s="33">
        <f>tzujt7_1</f>
        <v>0</v>
      </c>
      <c r="I10" s="35">
        <f>tzpjt7_1</f>
        <v>0</v>
      </c>
      <c r="J10" s="35">
        <f t="shared" si="0"/>
        <v>0</v>
      </c>
      <c r="K10" s="35">
        <f t="shared" si="1"/>
        <v>0</v>
      </c>
      <c r="L10" s="35">
        <f t="shared" si="2"/>
        <v>0</v>
      </c>
    </row>
    <row r="11" spans="1:12" x14ac:dyDescent="0.2">
      <c r="A11" s="25" t="s">
        <v>208</v>
      </c>
      <c r="B11" s="25" t="s">
        <v>250</v>
      </c>
      <c r="C11" s="25" t="s">
        <v>209</v>
      </c>
      <c r="D11" s="25" t="s">
        <v>194</v>
      </c>
      <c r="E11" s="25" t="s">
        <v>195</v>
      </c>
      <c r="F11" s="37">
        <f>objecturen8_1</f>
        <v>0</v>
      </c>
      <c r="G11" s="39">
        <f>objectprijs8_1</f>
        <v>0</v>
      </c>
      <c r="H11" s="37">
        <f>tzujt8_1</f>
        <v>0</v>
      </c>
      <c r="I11" s="39">
        <f>tzpjt8_1</f>
        <v>0</v>
      </c>
      <c r="J11" s="39">
        <f t="shared" si="0"/>
        <v>0</v>
      </c>
      <c r="K11" s="39">
        <f t="shared" si="1"/>
        <v>0</v>
      </c>
      <c r="L11" s="39">
        <f t="shared" si="2"/>
        <v>0</v>
      </c>
    </row>
    <row r="13" spans="1:12" x14ac:dyDescent="0.2">
      <c r="A13" s="40" t="s">
        <v>251</v>
      </c>
      <c r="B13" s="41"/>
      <c r="C13" s="41"/>
      <c r="D13" s="41"/>
      <c r="E13" s="41"/>
      <c r="F13" s="42">
        <f t="shared" ref="F13:L13" si="3">SUM(F4:F11)</f>
        <v>0</v>
      </c>
      <c r="G13" s="43">
        <f t="shared" si="3"/>
        <v>0</v>
      </c>
      <c r="H13" s="42">
        <f t="shared" si="3"/>
        <v>0</v>
      </c>
      <c r="I13" s="43">
        <f t="shared" si="3"/>
        <v>0</v>
      </c>
      <c r="J13" s="43">
        <f t="shared" si="3"/>
        <v>0</v>
      </c>
      <c r="K13" s="43">
        <f t="shared" si="3"/>
        <v>0</v>
      </c>
      <c r="L13" s="43">
        <f t="shared" si="3"/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SOMA College EA 2022                              &amp;ROpmaakdatum: 20-12-2021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DF28-A34C-4FDD-AC6B-FA5143648675}">
  <dimension ref="A1:E93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I.6: ",tabeltype," afroep incidenteel")</f>
        <v>Bijlage I.6: Invultabel afroep incidenteel</v>
      </c>
    </row>
    <row r="3" spans="1:5" ht="38.25" x14ac:dyDescent="0.2">
      <c r="A3" s="8" t="s">
        <v>252</v>
      </c>
      <c r="B3" s="8" t="s">
        <v>32</v>
      </c>
      <c r="C3" s="8" t="s">
        <v>35</v>
      </c>
      <c r="D3" s="8" t="s">
        <v>253</v>
      </c>
      <c r="E3" s="8" t="s">
        <v>254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37</v>
      </c>
      <c r="B5" s="13"/>
      <c r="C5" s="13"/>
      <c r="D5" s="13"/>
      <c r="E5" s="14"/>
    </row>
    <row r="6" spans="1:5" x14ac:dyDescent="0.2">
      <c r="A6" s="15" t="s">
        <v>255</v>
      </c>
      <c r="B6" s="15" t="s">
        <v>256</v>
      </c>
      <c r="C6" s="15" t="s">
        <v>257</v>
      </c>
      <c r="D6" s="15" t="s">
        <v>258</v>
      </c>
      <c r="E6" s="19"/>
    </row>
    <row r="7" spans="1:5" x14ac:dyDescent="0.2">
      <c r="A7" s="20" t="s">
        <v>259</v>
      </c>
      <c r="B7" s="20" t="s">
        <v>256</v>
      </c>
      <c r="C7" s="20" t="s">
        <v>257</v>
      </c>
      <c r="D7" s="20" t="s">
        <v>260</v>
      </c>
      <c r="E7" s="24"/>
    </row>
    <row r="8" spans="1:5" x14ac:dyDescent="0.2">
      <c r="A8" s="20" t="s">
        <v>261</v>
      </c>
      <c r="B8" s="20" t="s">
        <v>256</v>
      </c>
      <c r="C8" s="20" t="s">
        <v>257</v>
      </c>
      <c r="D8" s="20" t="s">
        <v>262</v>
      </c>
      <c r="E8" s="24"/>
    </row>
    <row r="9" spans="1:5" x14ac:dyDescent="0.2">
      <c r="A9" s="20" t="s">
        <v>263</v>
      </c>
      <c r="B9" s="20" t="s">
        <v>256</v>
      </c>
      <c r="C9" s="20" t="s">
        <v>257</v>
      </c>
      <c r="D9" s="20" t="s">
        <v>264</v>
      </c>
      <c r="E9" s="24"/>
    </row>
    <row r="10" spans="1:5" x14ac:dyDescent="0.2">
      <c r="A10" s="20" t="s">
        <v>265</v>
      </c>
      <c r="B10" s="20" t="s">
        <v>266</v>
      </c>
      <c r="C10" s="20" t="s">
        <v>257</v>
      </c>
      <c r="D10" s="20" t="s">
        <v>258</v>
      </c>
      <c r="E10" s="24"/>
    </row>
    <row r="11" spans="1:5" x14ac:dyDescent="0.2">
      <c r="A11" s="20" t="s">
        <v>267</v>
      </c>
      <c r="B11" s="20" t="s">
        <v>266</v>
      </c>
      <c r="C11" s="20" t="s">
        <v>257</v>
      </c>
      <c r="D11" s="20" t="s">
        <v>260</v>
      </c>
      <c r="E11" s="24"/>
    </row>
    <row r="12" spans="1:5" x14ac:dyDescent="0.2">
      <c r="A12" s="20" t="s">
        <v>268</v>
      </c>
      <c r="B12" s="20" t="s">
        <v>266</v>
      </c>
      <c r="C12" s="20" t="s">
        <v>257</v>
      </c>
      <c r="D12" s="20" t="s">
        <v>262</v>
      </c>
      <c r="E12" s="24"/>
    </row>
    <row r="13" spans="1:5" x14ac:dyDescent="0.2">
      <c r="A13" s="20" t="s">
        <v>269</v>
      </c>
      <c r="B13" s="20" t="s">
        <v>266</v>
      </c>
      <c r="C13" s="20" t="s">
        <v>257</v>
      </c>
      <c r="D13" s="20" t="s">
        <v>264</v>
      </c>
      <c r="E13" s="24"/>
    </row>
    <row r="14" spans="1:5" x14ac:dyDescent="0.2">
      <c r="A14" s="20" t="s">
        <v>270</v>
      </c>
      <c r="B14" s="20" t="s">
        <v>271</v>
      </c>
      <c r="C14" s="20" t="s">
        <v>257</v>
      </c>
      <c r="D14" s="20" t="s">
        <v>258</v>
      </c>
      <c r="E14" s="24"/>
    </row>
    <row r="15" spans="1:5" x14ac:dyDescent="0.2">
      <c r="A15" s="20" t="s">
        <v>272</v>
      </c>
      <c r="B15" s="20" t="s">
        <v>271</v>
      </c>
      <c r="C15" s="20" t="s">
        <v>257</v>
      </c>
      <c r="D15" s="20" t="s">
        <v>260</v>
      </c>
      <c r="E15" s="24"/>
    </row>
    <row r="16" spans="1:5" x14ac:dyDescent="0.2">
      <c r="A16" s="20" t="s">
        <v>273</v>
      </c>
      <c r="B16" s="20" t="s">
        <v>271</v>
      </c>
      <c r="C16" s="20" t="s">
        <v>257</v>
      </c>
      <c r="D16" s="20" t="s">
        <v>262</v>
      </c>
      <c r="E16" s="24"/>
    </row>
    <row r="17" spans="1:5" x14ac:dyDescent="0.2">
      <c r="A17" s="20" t="s">
        <v>274</v>
      </c>
      <c r="B17" s="20" t="s">
        <v>271</v>
      </c>
      <c r="C17" s="20" t="s">
        <v>257</v>
      </c>
      <c r="D17" s="20" t="s">
        <v>264</v>
      </c>
      <c r="E17" s="24"/>
    </row>
    <row r="18" spans="1:5" x14ac:dyDescent="0.2">
      <c r="A18" s="20" t="s">
        <v>275</v>
      </c>
      <c r="B18" s="20" t="s">
        <v>276</v>
      </c>
      <c r="C18" s="20" t="s">
        <v>257</v>
      </c>
      <c r="D18" s="20" t="s">
        <v>258</v>
      </c>
      <c r="E18" s="24"/>
    </row>
    <row r="19" spans="1:5" x14ac:dyDescent="0.2">
      <c r="A19" s="20" t="s">
        <v>277</v>
      </c>
      <c r="B19" s="20" t="s">
        <v>276</v>
      </c>
      <c r="C19" s="20" t="s">
        <v>257</v>
      </c>
      <c r="D19" s="20" t="s">
        <v>260</v>
      </c>
      <c r="E19" s="24"/>
    </row>
    <row r="20" spans="1:5" x14ac:dyDescent="0.2">
      <c r="A20" s="20" t="s">
        <v>278</v>
      </c>
      <c r="B20" s="20" t="s">
        <v>276</v>
      </c>
      <c r="C20" s="20" t="s">
        <v>257</v>
      </c>
      <c r="D20" s="20" t="s">
        <v>262</v>
      </c>
      <c r="E20" s="24"/>
    </row>
    <row r="21" spans="1:5" x14ac:dyDescent="0.2">
      <c r="A21" s="20" t="s">
        <v>279</v>
      </c>
      <c r="B21" s="20" t="s">
        <v>276</v>
      </c>
      <c r="C21" s="20" t="s">
        <v>257</v>
      </c>
      <c r="D21" s="20" t="s">
        <v>264</v>
      </c>
      <c r="E21" s="24"/>
    </row>
    <row r="22" spans="1:5" x14ac:dyDescent="0.2">
      <c r="A22" s="20" t="s">
        <v>280</v>
      </c>
      <c r="B22" s="20" t="s">
        <v>281</v>
      </c>
      <c r="C22" s="20" t="s">
        <v>282</v>
      </c>
      <c r="D22" s="20" t="s">
        <v>283</v>
      </c>
      <c r="E22" s="24"/>
    </row>
    <row r="23" spans="1:5" x14ac:dyDescent="0.2">
      <c r="A23" s="20" t="s">
        <v>284</v>
      </c>
      <c r="B23" s="20" t="s">
        <v>281</v>
      </c>
      <c r="C23" s="20" t="s">
        <v>282</v>
      </c>
      <c r="D23" s="20" t="s">
        <v>285</v>
      </c>
      <c r="E23" s="24"/>
    </row>
    <row r="24" spans="1:5" x14ac:dyDescent="0.2">
      <c r="A24" s="20" t="s">
        <v>286</v>
      </c>
      <c r="B24" s="20" t="s">
        <v>281</v>
      </c>
      <c r="C24" s="20" t="s">
        <v>282</v>
      </c>
      <c r="D24" s="20" t="s">
        <v>287</v>
      </c>
      <c r="E24" s="24"/>
    </row>
    <row r="25" spans="1:5" x14ac:dyDescent="0.2">
      <c r="A25" s="20" t="s">
        <v>288</v>
      </c>
      <c r="B25" s="20" t="s">
        <v>281</v>
      </c>
      <c r="C25" s="20" t="s">
        <v>282</v>
      </c>
      <c r="D25" s="20" t="s">
        <v>289</v>
      </c>
      <c r="E25" s="24"/>
    </row>
    <row r="26" spans="1:5" x14ac:dyDescent="0.2">
      <c r="A26" s="20" t="s">
        <v>290</v>
      </c>
      <c r="B26" s="20" t="s">
        <v>291</v>
      </c>
      <c r="C26" s="20" t="s">
        <v>282</v>
      </c>
      <c r="D26" s="20" t="s">
        <v>283</v>
      </c>
      <c r="E26" s="24"/>
    </row>
    <row r="27" spans="1:5" x14ac:dyDescent="0.2">
      <c r="A27" s="20" t="s">
        <v>292</v>
      </c>
      <c r="B27" s="20" t="s">
        <v>291</v>
      </c>
      <c r="C27" s="20" t="s">
        <v>282</v>
      </c>
      <c r="D27" s="20" t="s">
        <v>285</v>
      </c>
      <c r="E27" s="24"/>
    </row>
    <row r="28" spans="1:5" x14ac:dyDescent="0.2">
      <c r="A28" s="20" t="s">
        <v>293</v>
      </c>
      <c r="B28" s="20" t="s">
        <v>291</v>
      </c>
      <c r="C28" s="20" t="s">
        <v>282</v>
      </c>
      <c r="D28" s="20" t="s">
        <v>287</v>
      </c>
      <c r="E28" s="24"/>
    </row>
    <row r="29" spans="1:5" x14ac:dyDescent="0.2">
      <c r="A29" s="20" t="s">
        <v>294</v>
      </c>
      <c r="B29" s="20" t="s">
        <v>291</v>
      </c>
      <c r="C29" s="20" t="s">
        <v>282</v>
      </c>
      <c r="D29" s="20" t="s">
        <v>289</v>
      </c>
      <c r="E29" s="24"/>
    </row>
    <row r="30" spans="1:5" x14ac:dyDescent="0.2">
      <c r="A30" s="20" t="s">
        <v>295</v>
      </c>
      <c r="B30" s="20" t="s">
        <v>296</v>
      </c>
      <c r="C30" s="20" t="s">
        <v>282</v>
      </c>
      <c r="D30" s="20" t="s">
        <v>283</v>
      </c>
      <c r="E30" s="24"/>
    </row>
    <row r="31" spans="1:5" x14ac:dyDescent="0.2">
      <c r="A31" s="20" t="s">
        <v>297</v>
      </c>
      <c r="B31" s="20" t="s">
        <v>296</v>
      </c>
      <c r="C31" s="20" t="s">
        <v>282</v>
      </c>
      <c r="D31" s="20" t="s">
        <v>285</v>
      </c>
      <c r="E31" s="24"/>
    </row>
    <row r="32" spans="1:5" x14ac:dyDescent="0.2">
      <c r="A32" s="20" t="s">
        <v>298</v>
      </c>
      <c r="B32" s="20" t="s">
        <v>296</v>
      </c>
      <c r="C32" s="20" t="s">
        <v>282</v>
      </c>
      <c r="D32" s="20" t="s">
        <v>287</v>
      </c>
      <c r="E32" s="24"/>
    </row>
    <row r="33" spans="1:5" x14ac:dyDescent="0.2">
      <c r="A33" s="20" t="s">
        <v>299</v>
      </c>
      <c r="B33" s="20" t="s">
        <v>296</v>
      </c>
      <c r="C33" s="20" t="s">
        <v>282</v>
      </c>
      <c r="D33" s="20" t="s">
        <v>289</v>
      </c>
      <c r="E33" s="24"/>
    </row>
    <row r="34" spans="1:5" x14ac:dyDescent="0.2">
      <c r="A34" s="20" t="s">
        <v>300</v>
      </c>
      <c r="B34" s="20" t="s">
        <v>301</v>
      </c>
      <c r="C34" s="20" t="s">
        <v>282</v>
      </c>
      <c r="D34" s="20" t="s">
        <v>283</v>
      </c>
      <c r="E34" s="24"/>
    </row>
    <row r="35" spans="1:5" x14ac:dyDescent="0.2">
      <c r="A35" s="20" t="s">
        <v>302</v>
      </c>
      <c r="B35" s="20" t="s">
        <v>301</v>
      </c>
      <c r="C35" s="20" t="s">
        <v>282</v>
      </c>
      <c r="D35" s="20" t="s">
        <v>285</v>
      </c>
      <c r="E35" s="24"/>
    </row>
    <row r="36" spans="1:5" x14ac:dyDescent="0.2">
      <c r="A36" s="20" t="s">
        <v>303</v>
      </c>
      <c r="B36" s="20" t="s">
        <v>301</v>
      </c>
      <c r="C36" s="20" t="s">
        <v>282</v>
      </c>
      <c r="D36" s="20" t="s">
        <v>287</v>
      </c>
      <c r="E36" s="24"/>
    </row>
    <row r="37" spans="1:5" x14ac:dyDescent="0.2">
      <c r="A37" s="20" t="s">
        <v>304</v>
      </c>
      <c r="B37" s="20" t="s">
        <v>301</v>
      </c>
      <c r="C37" s="20" t="s">
        <v>282</v>
      </c>
      <c r="D37" s="20" t="s">
        <v>289</v>
      </c>
      <c r="E37" s="24"/>
    </row>
    <row r="38" spans="1:5" x14ac:dyDescent="0.2">
      <c r="A38" s="20" t="s">
        <v>305</v>
      </c>
      <c r="B38" s="20" t="s">
        <v>306</v>
      </c>
      <c r="C38" s="20" t="s">
        <v>282</v>
      </c>
      <c r="D38" s="20" t="s">
        <v>283</v>
      </c>
      <c r="E38" s="24"/>
    </row>
    <row r="39" spans="1:5" x14ac:dyDescent="0.2">
      <c r="A39" s="20" t="s">
        <v>307</v>
      </c>
      <c r="B39" s="20" t="s">
        <v>306</v>
      </c>
      <c r="C39" s="20" t="s">
        <v>282</v>
      </c>
      <c r="D39" s="20" t="s">
        <v>285</v>
      </c>
      <c r="E39" s="24"/>
    </row>
    <row r="40" spans="1:5" x14ac:dyDescent="0.2">
      <c r="A40" s="20" t="s">
        <v>308</v>
      </c>
      <c r="B40" s="20" t="s">
        <v>306</v>
      </c>
      <c r="C40" s="20" t="s">
        <v>282</v>
      </c>
      <c r="D40" s="20" t="s">
        <v>287</v>
      </c>
      <c r="E40" s="24"/>
    </row>
    <row r="41" spans="1:5" x14ac:dyDescent="0.2">
      <c r="A41" s="20" t="s">
        <v>309</v>
      </c>
      <c r="B41" s="20" t="s">
        <v>306</v>
      </c>
      <c r="C41" s="20" t="s">
        <v>282</v>
      </c>
      <c r="D41" s="20" t="s">
        <v>289</v>
      </c>
      <c r="E41" s="24"/>
    </row>
    <row r="42" spans="1:5" x14ac:dyDescent="0.2">
      <c r="A42" s="20" t="s">
        <v>310</v>
      </c>
      <c r="B42" s="20" t="s">
        <v>311</v>
      </c>
      <c r="C42" s="20" t="s">
        <v>282</v>
      </c>
      <c r="D42" s="20" t="s">
        <v>283</v>
      </c>
      <c r="E42" s="24"/>
    </row>
    <row r="43" spans="1:5" x14ac:dyDescent="0.2">
      <c r="A43" s="20" t="s">
        <v>312</v>
      </c>
      <c r="B43" s="20" t="s">
        <v>311</v>
      </c>
      <c r="C43" s="20" t="s">
        <v>282</v>
      </c>
      <c r="D43" s="20" t="s">
        <v>285</v>
      </c>
      <c r="E43" s="24"/>
    </row>
    <row r="44" spans="1:5" x14ac:dyDescent="0.2">
      <c r="A44" s="20" t="s">
        <v>313</v>
      </c>
      <c r="B44" s="20" t="s">
        <v>311</v>
      </c>
      <c r="C44" s="20" t="s">
        <v>282</v>
      </c>
      <c r="D44" s="20" t="s">
        <v>287</v>
      </c>
      <c r="E44" s="24"/>
    </row>
    <row r="45" spans="1:5" x14ac:dyDescent="0.2">
      <c r="A45" s="20" t="s">
        <v>314</v>
      </c>
      <c r="B45" s="20" t="s">
        <v>311</v>
      </c>
      <c r="C45" s="20" t="s">
        <v>282</v>
      </c>
      <c r="D45" s="20" t="s">
        <v>289</v>
      </c>
      <c r="E45" s="24"/>
    </row>
    <row r="46" spans="1:5" x14ac:dyDescent="0.2">
      <c r="A46" s="20" t="s">
        <v>315</v>
      </c>
      <c r="B46" s="20" t="s">
        <v>152</v>
      </c>
      <c r="C46" s="20" t="s">
        <v>282</v>
      </c>
      <c r="D46" s="20" t="s">
        <v>283</v>
      </c>
      <c r="E46" s="24"/>
    </row>
    <row r="47" spans="1:5" x14ac:dyDescent="0.2">
      <c r="A47" s="20" t="s">
        <v>316</v>
      </c>
      <c r="B47" s="20" t="s">
        <v>152</v>
      </c>
      <c r="C47" s="20" t="s">
        <v>282</v>
      </c>
      <c r="D47" s="20" t="s">
        <v>285</v>
      </c>
      <c r="E47" s="24"/>
    </row>
    <row r="48" spans="1:5" x14ac:dyDescent="0.2">
      <c r="A48" s="20" t="s">
        <v>317</v>
      </c>
      <c r="B48" s="20" t="s">
        <v>152</v>
      </c>
      <c r="C48" s="20" t="s">
        <v>282</v>
      </c>
      <c r="D48" s="20" t="s">
        <v>287</v>
      </c>
      <c r="E48" s="24"/>
    </row>
    <row r="49" spans="1:5" x14ac:dyDescent="0.2">
      <c r="A49" s="20" t="s">
        <v>318</v>
      </c>
      <c r="B49" s="20" t="s">
        <v>152</v>
      </c>
      <c r="C49" s="20" t="s">
        <v>282</v>
      </c>
      <c r="D49" s="20" t="s">
        <v>289</v>
      </c>
      <c r="E49" s="24"/>
    </row>
    <row r="50" spans="1:5" x14ac:dyDescent="0.2">
      <c r="A50" s="20" t="s">
        <v>319</v>
      </c>
      <c r="B50" s="20" t="s">
        <v>320</v>
      </c>
      <c r="C50" s="20" t="s">
        <v>282</v>
      </c>
      <c r="D50" s="20" t="s">
        <v>250</v>
      </c>
      <c r="E50" s="24"/>
    </row>
    <row r="51" spans="1:5" x14ac:dyDescent="0.2">
      <c r="A51" s="20" t="s">
        <v>321</v>
      </c>
      <c r="B51" s="20" t="s">
        <v>322</v>
      </c>
      <c r="C51" s="20" t="s">
        <v>282</v>
      </c>
      <c r="D51" s="20" t="s">
        <v>323</v>
      </c>
      <c r="E51" s="24"/>
    </row>
    <row r="52" spans="1:5" x14ac:dyDescent="0.2">
      <c r="A52" s="20" t="s">
        <v>324</v>
      </c>
      <c r="B52" s="20" t="s">
        <v>322</v>
      </c>
      <c r="C52" s="20" t="s">
        <v>282</v>
      </c>
      <c r="D52" s="20" t="s">
        <v>325</v>
      </c>
      <c r="E52" s="24"/>
    </row>
    <row r="53" spans="1:5" x14ac:dyDescent="0.2">
      <c r="A53" s="20" t="s">
        <v>326</v>
      </c>
      <c r="B53" s="20" t="s">
        <v>322</v>
      </c>
      <c r="C53" s="20" t="s">
        <v>282</v>
      </c>
      <c r="D53" s="20" t="s">
        <v>327</v>
      </c>
      <c r="E53" s="24"/>
    </row>
    <row r="54" spans="1:5" x14ac:dyDescent="0.2">
      <c r="A54" s="20" t="s">
        <v>328</v>
      </c>
      <c r="B54" s="20" t="s">
        <v>322</v>
      </c>
      <c r="C54" s="20" t="s">
        <v>282</v>
      </c>
      <c r="D54" s="20" t="s">
        <v>329</v>
      </c>
      <c r="E54" s="24"/>
    </row>
    <row r="55" spans="1:5" x14ac:dyDescent="0.2">
      <c r="A55" s="20" t="s">
        <v>330</v>
      </c>
      <c r="B55" s="20" t="s">
        <v>331</v>
      </c>
      <c r="C55" s="20" t="s">
        <v>282</v>
      </c>
      <c r="D55" s="20" t="s">
        <v>323</v>
      </c>
      <c r="E55" s="24"/>
    </row>
    <row r="56" spans="1:5" x14ac:dyDescent="0.2">
      <c r="A56" s="20" t="s">
        <v>332</v>
      </c>
      <c r="B56" s="20" t="s">
        <v>331</v>
      </c>
      <c r="C56" s="20" t="s">
        <v>282</v>
      </c>
      <c r="D56" s="20" t="s">
        <v>325</v>
      </c>
      <c r="E56" s="24"/>
    </row>
    <row r="57" spans="1:5" x14ac:dyDescent="0.2">
      <c r="A57" s="20" t="s">
        <v>333</v>
      </c>
      <c r="B57" s="20" t="s">
        <v>331</v>
      </c>
      <c r="C57" s="20" t="s">
        <v>282</v>
      </c>
      <c r="D57" s="20" t="s">
        <v>327</v>
      </c>
      <c r="E57" s="24"/>
    </row>
    <row r="58" spans="1:5" x14ac:dyDescent="0.2">
      <c r="A58" s="20" t="s">
        <v>334</v>
      </c>
      <c r="B58" s="20" t="s">
        <v>331</v>
      </c>
      <c r="C58" s="20" t="s">
        <v>282</v>
      </c>
      <c r="D58" s="20" t="s">
        <v>329</v>
      </c>
      <c r="E58" s="24"/>
    </row>
    <row r="59" spans="1:5" x14ac:dyDescent="0.2">
      <c r="A59" s="20" t="s">
        <v>335</v>
      </c>
      <c r="B59" s="20" t="s">
        <v>336</v>
      </c>
      <c r="C59" s="20" t="s">
        <v>282</v>
      </c>
      <c r="D59" s="20" t="s">
        <v>323</v>
      </c>
      <c r="E59" s="24"/>
    </row>
    <row r="60" spans="1:5" x14ac:dyDescent="0.2">
      <c r="A60" s="20" t="s">
        <v>337</v>
      </c>
      <c r="B60" s="20" t="s">
        <v>336</v>
      </c>
      <c r="C60" s="20" t="s">
        <v>282</v>
      </c>
      <c r="D60" s="20" t="s">
        <v>325</v>
      </c>
      <c r="E60" s="24"/>
    </row>
    <row r="61" spans="1:5" x14ac:dyDescent="0.2">
      <c r="A61" s="20" t="s">
        <v>338</v>
      </c>
      <c r="B61" s="20" t="s">
        <v>336</v>
      </c>
      <c r="C61" s="20" t="s">
        <v>282</v>
      </c>
      <c r="D61" s="20" t="s">
        <v>327</v>
      </c>
      <c r="E61" s="24"/>
    </row>
    <row r="62" spans="1:5" x14ac:dyDescent="0.2">
      <c r="A62" s="20" t="s">
        <v>339</v>
      </c>
      <c r="B62" s="20" t="s">
        <v>336</v>
      </c>
      <c r="C62" s="20" t="s">
        <v>282</v>
      </c>
      <c r="D62" s="20" t="s">
        <v>329</v>
      </c>
      <c r="E62" s="24"/>
    </row>
    <row r="63" spans="1:5" x14ac:dyDescent="0.2">
      <c r="A63" s="20" t="s">
        <v>340</v>
      </c>
      <c r="B63" s="20" t="s">
        <v>341</v>
      </c>
      <c r="C63" s="20" t="s">
        <v>282</v>
      </c>
      <c r="D63" s="20" t="s">
        <v>323</v>
      </c>
      <c r="E63" s="24"/>
    </row>
    <row r="64" spans="1:5" x14ac:dyDescent="0.2">
      <c r="A64" s="20" t="s">
        <v>342</v>
      </c>
      <c r="B64" s="20" t="s">
        <v>341</v>
      </c>
      <c r="C64" s="20" t="s">
        <v>282</v>
      </c>
      <c r="D64" s="20" t="s">
        <v>325</v>
      </c>
      <c r="E64" s="24"/>
    </row>
    <row r="65" spans="1:5" x14ac:dyDescent="0.2">
      <c r="A65" s="20" t="s">
        <v>343</v>
      </c>
      <c r="B65" s="20" t="s">
        <v>341</v>
      </c>
      <c r="C65" s="20" t="s">
        <v>282</v>
      </c>
      <c r="D65" s="20" t="s">
        <v>327</v>
      </c>
      <c r="E65" s="24"/>
    </row>
    <row r="66" spans="1:5" x14ac:dyDescent="0.2">
      <c r="A66" s="20" t="s">
        <v>344</v>
      </c>
      <c r="B66" s="20" t="s">
        <v>341</v>
      </c>
      <c r="C66" s="20" t="s">
        <v>282</v>
      </c>
      <c r="D66" s="20" t="s">
        <v>329</v>
      </c>
      <c r="E66" s="24"/>
    </row>
    <row r="67" spans="1:5" x14ac:dyDescent="0.2">
      <c r="A67" s="20" t="s">
        <v>345</v>
      </c>
      <c r="B67" s="20" t="s">
        <v>346</v>
      </c>
      <c r="C67" s="20" t="s">
        <v>282</v>
      </c>
      <c r="D67" s="20" t="s">
        <v>323</v>
      </c>
      <c r="E67" s="24"/>
    </row>
    <row r="68" spans="1:5" x14ac:dyDescent="0.2">
      <c r="A68" s="20" t="s">
        <v>347</v>
      </c>
      <c r="B68" s="20" t="s">
        <v>346</v>
      </c>
      <c r="C68" s="20" t="s">
        <v>282</v>
      </c>
      <c r="D68" s="20" t="s">
        <v>325</v>
      </c>
      <c r="E68" s="24"/>
    </row>
    <row r="69" spans="1:5" x14ac:dyDescent="0.2">
      <c r="A69" s="20" t="s">
        <v>348</v>
      </c>
      <c r="B69" s="20" t="s">
        <v>346</v>
      </c>
      <c r="C69" s="20" t="s">
        <v>282</v>
      </c>
      <c r="D69" s="20" t="s">
        <v>327</v>
      </c>
      <c r="E69" s="24"/>
    </row>
    <row r="70" spans="1:5" x14ac:dyDescent="0.2">
      <c r="A70" s="20" t="s">
        <v>349</v>
      </c>
      <c r="B70" s="20" t="s">
        <v>346</v>
      </c>
      <c r="C70" s="20" t="s">
        <v>282</v>
      </c>
      <c r="D70" s="20" t="s">
        <v>329</v>
      </c>
      <c r="E70" s="24"/>
    </row>
    <row r="71" spans="1:5" x14ac:dyDescent="0.2">
      <c r="A71" s="20" t="s">
        <v>350</v>
      </c>
      <c r="B71" s="20" t="s">
        <v>351</v>
      </c>
      <c r="C71" s="20" t="s">
        <v>282</v>
      </c>
      <c r="D71" s="20" t="s">
        <v>323</v>
      </c>
      <c r="E71" s="24"/>
    </row>
    <row r="72" spans="1:5" x14ac:dyDescent="0.2">
      <c r="A72" s="20" t="s">
        <v>352</v>
      </c>
      <c r="B72" s="20" t="s">
        <v>351</v>
      </c>
      <c r="C72" s="20" t="s">
        <v>282</v>
      </c>
      <c r="D72" s="20" t="s">
        <v>325</v>
      </c>
      <c r="E72" s="24"/>
    </row>
    <row r="73" spans="1:5" x14ac:dyDescent="0.2">
      <c r="A73" s="20" t="s">
        <v>353</v>
      </c>
      <c r="B73" s="20" t="s">
        <v>351</v>
      </c>
      <c r="C73" s="20" t="s">
        <v>282</v>
      </c>
      <c r="D73" s="20" t="s">
        <v>327</v>
      </c>
      <c r="E73" s="24"/>
    </row>
    <row r="74" spans="1:5" x14ac:dyDescent="0.2">
      <c r="A74" s="20" t="s">
        <v>354</v>
      </c>
      <c r="B74" s="20" t="s">
        <v>351</v>
      </c>
      <c r="C74" s="20" t="s">
        <v>282</v>
      </c>
      <c r="D74" s="20" t="s">
        <v>329</v>
      </c>
      <c r="E74" s="24"/>
    </row>
    <row r="75" spans="1:5" x14ac:dyDescent="0.2">
      <c r="A75" s="20" t="s">
        <v>355</v>
      </c>
      <c r="B75" s="20" t="s">
        <v>356</v>
      </c>
      <c r="C75" s="20" t="s">
        <v>282</v>
      </c>
      <c r="D75" s="20" t="s">
        <v>323</v>
      </c>
      <c r="E75" s="24"/>
    </row>
    <row r="76" spans="1:5" x14ac:dyDescent="0.2">
      <c r="A76" s="20" t="s">
        <v>357</v>
      </c>
      <c r="B76" s="20" t="s">
        <v>356</v>
      </c>
      <c r="C76" s="20" t="s">
        <v>282</v>
      </c>
      <c r="D76" s="20" t="s">
        <v>325</v>
      </c>
      <c r="E76" s="24"/>
    </row>
    <row r="77" spans="1:5" x14ac:dyDescent="0.2">
      <c r="A77" s="20" t="s">
        <v>358</v>
      </c>
      <c r="B77" s="20" t="s">
        <v>356</v>
      </c>
      <c r="C77" s="20" t="s">
        <v>282</v>
      </c>
      <c r="D77" s="20" t="s">
        <v>327</v>
      </c>
      <c r="E77" s="24"/>
    </row>
    <row r="78" spans="1:5" x14ac:dyDescent="0.2">
      <c r="A78" s="20" t="s">
        <v>359</v>
      </c>
      <c r="B78" s="20" t="s">
        <v>356</v>
      </c>
      <c r="C78" s="20" t="s">
        <v>282</v>
      </c>
      <c r="D78" s="20" t="s">
        <v>329</v>
      </c>
      <c r="E78" s="24"/>
    </row>
    <row r="79" spans="1:5" x14ac:dyDescent="0.2">
      <c r="A79" s="20" t="s">
        <v>360</v>
      </c>
      <c r="B79" s="20" t="s">
        <v>361</v>
      </c>
      <c r="C79" s="20" t="s">
        <v>282</v>
      </c>
      <c r="D79" s="20" t="s">
        <v>323</v>
      </c>
      <c r="E79" s="24"/>
    </row>
    <row r="80" spans="1:5" x14ac:dyDescent="0.2">
      <c r="A80" s="20" t="s">
        <v>362</v>
      </c>
      <c r="B80" s="20" t="s">
        <v>361</v>
      </c>
      <c r="C80" s="20" t="s">
        <v>282</v>
      </c>
      <c r="D80" s="20" t="s">
        <v>325</v>
      </c>
      <c r="E80" s="24"/>
    </row>
    <row r="81" spans="1:5" x14ac:dyDescent="0.2">
      <c r="A81" s="20" t="s">
        <v>363</v>
      </c>
      <c r="B81" s="20" t="s">
        <v>361</v>
      </c>
      <c r="C81" s="20" t="s">
        <v>282</v>
      </c>
      <c r="D81" s="20" t="s">
        <v>327</v>
      </c>
      <c r="E81" s="24"/>
    </row>
    <row r="82" spans="1:5" x14ac:dyDescent="0.2">
      <c r="A82" s="20" t="s">
        <v>364</v>
      </c>
      <c r="B82" s="20" t="s">
        <v>361</v>
      </c>
      <c r="C82" s="20" t="s">
        <v>282</v>
      </c>
      <c r="D82" s="20" t="s">
        <v>329</v>
      </c>
      <c r="E82" s="24"/>
    </row>
    <row r="83" spans="1:5" x14ac:dyDescent="0.2">
      <c r="A83" s="20" t="s">
        <v>365</v>
      </c>
      <c r="B83" s="20" t="s">
        <v>366</v>
      </c>
      <c r="C83" s="20" t="s">
        <v>282</v>
      </c>
      <c r="D83" s="20" t="s">
        <v>323</v>
      </c>
      <c r="E83" s="24"/>
    </row>
    <row r="84" spans="1:5" x14ac:dyDescent="0.2">
      <c r="A84" s="20" t="s">
        <v>367</v>
      </c>
      <c r="B84" s="20" t="s">
        <v>366</v>
      </c>
      <c r="C84" s="20" t="s">
        <v>282</v>
      </c>
      <c r="D84" s="20" t="s">
        <v>325</v>
      </c>
      <c r="E84" s="24"/>
    </row>
    <row r="85" spans="1:5" x14ac:dyDescent="0.2">
      <c r="A85" s="20" t="s">
        <v>368</v>
      </c>
      <c r="B85" s="20" t="s">
        <v>366</v>
      </c>
      <c r="C85" s="20" t="s">
        <v>282</v>
      </c>
      <c r="D85" s="20" t="s">
        <v>327</v>
      </c>
      <c r="E85" s="24"/>
    </row>
    <row r="86" spans="1:5" x14ac:dyDescent="0.2">
      <c r="A86" s="20" t="s">
        <v>369</v>
      </c>
      <c r="B86" s="20" t="s">
        <v>366</v>
      </c>
      <c r="C86" s="20" t="s">
        <v>282</v>
      </c>
      <c r="D86" s="20" t="s">
        <v>329</v>
      </c>
      <c r="E86" s="24"/>
    </row>
    <row r="87" spans="1:5" x14ac:dyDescent="0.2">
      <c r="A87" s="20" t="s">
        <v>370</v>
      </c>
      <c r="B87" s="20" t="s">
        <v>371</v>
      </c>
      <c r="C87" s="20" t="s">
        <v>257</v>
      </c>
      <c r="D87" s="20" t="s">
        <v>258</v>
      </c>
      <c r="E87" s="24"/>
    </row>
    <row r="88" spans="1:5" x14ac:dyDescent="0.2">
      <c r="A88" s="20" t="s">
        <v>372</v>
      </c>
      <c r="B88" s="20" t="s">
        <v>371</v>
      </c>
      <c r="C88" s="20" t="s">
        <v>257</v>
      </c>
      <c r="D88" s="20" t="s">
        <v>373</v>
      </c>
      <c r="E88" s="24"/>
    </row>
    <row r="89" spans="1:5" x14ac:dyDescent="0.2">
      <c r="A89" s="20" t="s">
        <v>374</v>
      </c>
      <c r="B89" s="20" t="s">
        <v>371</v>
      </c>
      <c r="C89" s="20" t="s">
        <v>257</v>
      </c>
      <c r="D89" s="20" t="s">
        <v>375</v>
      </c>
      <c r="E89" s="24"/>
    </row>
    <row r="90" spans="1:5" x14ac:dyDescent="0.2">
      <c r="A90" s="25" t="s">
        <v>376</v>
      </c>
      <c r="B90" s="25" t="s">
        <v>371</v>
      </c>
      <c r="C90" s="25" t="s">
        <v>257</v>
      </c>
      <c r="D90" s="25" t="s">
        <v>377</v>
      </c>
      <c r="E90" s="29"/>
    </row>
    <row r="91" spans="1:5" x14ac:dyDescent="0.2">
      <c r="A91" s="40" t="s">
        <v>160</v>
      </c>
      <c r="B91" s="41"/>
      <c r="C91" s="41"/>
      <c r="D91" s="41"/>
      <c r="E91" s="73"/>
    </row>
    <row r="93" spans="1:5" x14ac:dyDescent="0.2">
      <c r="A93" s="40" t="s">
        <v>378</v>
      </c>
      <c r="B93" s="41"/>
      <c r="C93" s="41"/>
      <c r="D93" s="41"/>
      <c r="E93" s="73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SOMA College EA 2022                              &amp;ROpmaakdatum: 20-12-2021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66D6-6C53-49F4-8E6C-430D93478EF5}">
  <dimension ref="A1:L1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I.7: ",tabeltype," regiewerk")</f>
        <v>Bijlage I.7: Invultabel regiewerk</v>
      </c>
    </row>
    <row r="3" spans="1:12" ht="38.25" x14ac:dyDescent="0.2">
      <c r="A3" s="8" t="s">
        <v>252</v>
      </c>
      <c r="B3" s="8" t="s">
        <v>7</v>
      </c>
      <c r="C3" s="8" t="s">
        <v>379</v>
      </c>
      <c r="D3" s="8" t="s">
        <v>32</v>
      </c>
      <c r="E3" s="8" t="s">
        <v>35</v>
      </c>
      <c r="F3" s="8" t="s">
        <v>380</v>
      </c>
      <c r="G3" s="8" t="s">
        <v>381</v>
      </c>
      <c r="H3" s="8" t="s">
        <v>382</v>
      </c>
      <c r="I3" s="8" t="s">
        <v>254</v>
      </c>
      <c r="J3" s="8" t="s">
        <v>383</v>
      </c>
      <c r="K3" s="8" t="s">
        <v>112</v>
      </c>
      <c r="L3" s="8" t="s">
        <v>191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384</v>
      </c>
      <c r="B6" s="15" t="s">
        <v>22</v>
      </c>
      <c r="C6" s="16">
        <f>IF(ISBLANK(B6),0,IF(ISERROR(VALUE(B6)),VLOOKUP(B6,dagsoorttabel1,2,FALSE)*dagenperjaar1,VALUE(B6)))</f>
        <v>12</v>
      </c>
      <c r="D6" s="15" t="s">
        <v>385</v>
      </c>
      <c r="E6" s="15" t="s">
        <v>386</v>
      </c>
      <c r="F6" s="74">
        <v>30</v>
      </c>
      <c r="G6" s="19"/>
      <c r="H6" s="75"/>
      <c r="I6" s="19"/>
      <c r="J6" s="32">
        <f>IF(ISBLANK(F6),0,F6)*I6</f>
        <v>0</v>
      </c>
      <c r="K6" s="32">
        <f>C6*J6</f>
        <v>0</v>
      </c>
      <c r="L6" s="32">
        <f t="shared" ref="L6:L11" si="0">K6/12</f>
        <v>0</v>
      </c>
    </row>
    <row r="7" spans="1:12" x14ac:dyDescent="0.2">
      <c r="A7" s="20" t="s">
        <v>387</v>
      </c>
      <c r="B7" s="20" t="s">
        <v>22</v>
      </c>
      <c r="C7" s="21">
        <f>IF(ISBLANK(B7),0,IF(ISERROR(VALUE(B7)),VLOOKUP(B7,dagsoorttabel1,2,FALSE)*dagenperjaar1,VALUE(B7)))</f>
        <v>12</v>
      </c>
      <c r="D7" s="20" t="s">
        <v>388</v>
      </c>
      <c r="E7" s="20" t="s">
        <v>386</v>
      </c>
      <c r="F7" s="76">
        <v>15</v>
      </c>
      <c r="G7" s="24"/>
      <c r="H7" s="77"/>
      <c r="I7" s="24"/>
      <c r="J7" s="35">
        <f>IF(ISBLANK(F7),0,F7)*I7</f>
        <v>0</v>
      </c>
      <c r="K7" s="35">
        <f>C7*J7</f>
        <v>0</v>
      </c>
      <c r="L7" s="35">
        <f t="shared" si="0"/>
        <v>0</v>
      </c>
    </row>
    <row r="8" spans="1:12" x14ac:dyDescent="0.2">
      <c r="A8" s="20" t="s">
        <v>389</v>
      </c>
      <c r="B8" s="20" t="s">
        <v>22</v>
      </c>
      <c r="C8" s="21">
        <f>IF(ISBLANK(B8),0,IF(ISERROR(VALUE(B8)),VLOOKUP(B8,dagsoorttabel1,2,FALSE)*dagenperjaar1,VALUE(B8)))</f>
        <v>12</v>
      </c>
      <c r="D8" s="20" t="s">
        <v>390</v>
      </c>
      <c r="E8" s="20" t="s">
        <v>386</v>
      </c>
      <c r="F8" s="76">
        <v>10</v>
      </c>
      <c r="G8" s="24"/>
      <c r="H8" s="77"/>
      <c r="I8" s="24"/>
      <c r="J8" s="35">
        <f>IF(ISBLANK(F8),0,F8)*I8</f>
        <v>0</v>
      </c>
      <c r="K8" s="35">
        <f>C8*J8</f>
        <v>0</v>
      </c>
      <c r="L8" s="35">
        <f t="shared" si="0"/>
        <v>0</v>
      </c>
    </row>
    <row r="9" spans="1:12" x14ac:dyDescent="0.2">
      <c r="A9" s="20" t="s">
        <v>391</v>
      </c>
      <c r="B9" s="20" t="s">
        <v>22</v>
      </c>
      <c r="C9" s="21">
        <f>IF(ISBLANK(B9),0,IF(ISERROR(VALUE(B9)),VLOOKUP(B9,dagsoorttabel1,2,FALSE)*dagenperjaar1,VALUE(B9)))</f>
        <v>12</v>
      </c>
      <c r="D9" s="20" t="s">
        <v>392</v>
      </c>
      <c r="E9" s="20" t="s">
        <v>257</v>
      </c>
      <c r="F9" s="76">
        <v>266</v>
      </c>
      <c r="G9" s="24"/>
      <c r="H9" s="77"/>
      <c r="I9" s="24"/>
      <c r="J9" s="35">
        <f>IF(ISBLANK(F9),0,F9)*I9</f>
        <v>0</v>
      </c>
      <c r="K9" s="35">
        <f>C9*J9</f>
        <v>0</v>
      </c>
      <c r="L9" s="35">
        <f t="shared" si="0"/>
        <v>0</v>
      </c>
    </row>
    <row r="10" spans="1:12" x14ac:dyDescent="0.2">
      <c r="A10" s="25" t="s">
        <v>393</v>
      </c>
      <c r="B10" s="25" t="s">
        <v>27</v>
      </c>
      <c r="C10" s="26">
        <f>IF(ISBLANK(B10),0,IF(ISERROR(VALUE(B10)),VLOOKUP(B10,dagsoorttabel1,2,FALSE)*dagenperjaar1,VALUE(B10)))</f>
        <v>2</v>
      </c>
      <c r="D10" s="25" t="s">
        <v>392</v>
      </c>
      <c r="E10" s="25" t="s">
        <v>257</v>
      </c>
      <c r="F10" s="78">
        <v>65</v>
      </c>
      <c r="G10" s="29"/>
      <c r="H10" s="79"/>
      <c r="I10" s="29"/>
      <c r="J10" s="39">
        <f>IF(ISBLANK(F10),0,F10)*I10</f>
        <v>0</v>
      </c>
      <c r="K10" s="39">
        <f>C10*J10</f>
        <v>0</v>
      </c>
      <c r="L10" s="39">
        <f t="shared" si="0"/>
        <v>0</v>
      </c>
    </row>
    <row r="11" spans="1:12" x14ac:dyDescent="0.2">
      <c r="A11" s="40" t="s">
        <v>160</v>
      </c>
      <c r="B11" s="41"/>
      <c r="C11" s="41"/>
      <c r="D11" s="41"/>
      <c r="E11" s="41"/>
      <c r="F11" s="41"/>
      <c r="G11" s="41"/>
      <c r="H11" s="41"/>
      <c r="I11" s="41"/>
      <c r="J11" s="41"/>
      <c r="K11" s="43">
        <f>SUM(K6:K10)</f>
        <v>0</v>
      </c>
      <c r="L11" s="80">
        <f t="shared" si="0"/>
        <v>0</v>
      </c>
    </row>
    <row r="13" spans="1:12" x14ac:dyDescent="0.2">
      <c r="A13" s="40" t="s">
        <v>394</v>
      </c>
      <c r="B13" s="41"/>
      <c r="C13" s="41"/>
      <c r="D13" s="41"/>
      <c r="E13" s="41"/>
      <c r="F13" s="41"/>
      <c r="G13" s="41"/>
      <c r="H13" s="41"/>
      <c r="I13" s="41"/>
      <c r="J13" s="41"/>
      <c r="K13" s="43">
        <f>prijsjaarregie1</f>
        <v>0</v>
      </c>
      <c r="L13" s="80">
        <f>K13/12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SOMA College EA 2022                              &amp;ROpmaakdatum: 20-12-2021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298</vt:i4>
      </vt:variant>
    </vt:vector>
  </HeadingPairs>
  <TitlesOfParts>
    <vt:vector size="310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 incidenteel</vt:lpstr>
      <vt:lpstr>Regiewerk</vt:lpstr>
      <vt:lpstr>Glas</vt:lpstr>
      <vt:lpstr>Glas per locatie</vt:lpstr>
      <vt:lpstr>Totaal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Totaal!Afdruktitels</vt:lpstr>
      <vt:lpstr>'Totaalblad Objecten'!Afdruktitels</vt:lpstr>
      <vt:lpstr>catdw_1_BHB_1</vt:lpstr>
      <vt:lpstr>catdw_1_BHV_47</vt:lpstr>
      <vt:lpstr>catdw_1_BHV_51</vt:lpstr>
      <vt:lpstr>catdw_1_DHB_1</vt:lpstr>
      <vt:lpstr>catdw_1_DHV_47</vt:lpstr>
      <vt:lpstr>catdw_1_EHB_1</vt:lpstr>
      <vt:lpstr>catdw_1_EHV_47</vt:lpstr>
      <vt:lpstr>catdw_1_GHB_1</vt:lpstr>
      <vt:lpstr>catdw_1_GHV_47</vt:lpstr>
      <vt:lpstr>catdw_1_IHB_1</vt:lpstr>
      <vt:lpstr>catdw_1_IHV_51</vt:lpstr>
      <vt:lpstr>catdw_1_KHB_1</vt:lpstr>
      <vt:lpstr>catdw_1_KHV_47</vt:lpstr>
      <vt:lpstr>catdw_1_LHB_1</vt:lpstr>
      <vt:lpstr>catdw_1_LHV_47</vt:lpstr>
      <vt:lpstr>catdw_1_LZV_1</vt:lpstr>
      <vt:lpstr>catdw_1_LZV_51</vt:lpstr>
      <vt:lpstr>catdw_1_PHB_1</vt:lpstr>
      <vt:lpstr>catdw_1_PHV_47</vt:lpstr>
      <vt:lpstr>catdw_1_PHV_51</vt:lpstr>
      <vt:lpstr>catdw_1_PUHB_1</vt:lpstr>
      <vt:lpstr>catdw_1_PUHV_47</vt:lpstr>
      <vt:lpstr>catdw_1_RHB_1</vt:lpstr>
      <vt:lpstr>catdw_1_RHV_47</vt:lpstr>
      <vt:lpstr>catdw_1_RHV_6</vt:lpstr>
      <vt:lpstr>catdw_1_SHB_1</vt:lpstr>
      <vt:lpstr>catdw_1_SHV_47</vt:lpstr>
      <vt:lpstr>catdw_1_SHV_51</vt:lpstr>
      <vt:lpstr>catdw_1_THB_1</vt:lpstr>
      <vt:lpstr>catdw_1_THV_47</vt:lpstr>
      <vt:lpstr>catdw_1_THV_51</vt:lpstr>
      <vt:lpstr>catdw_1_VHB_1</vt:lpstr>
      <vt:lpstr>catdw_1_VHV_47</vt:lpstr>
      <vt:lpstr>catdw_1_VHV_51</vt:lpstr>
      <vt:lpstr>catdw_1_VZB_1</vt:lpstr>
      <vt:lpstr>catdw_1_VZV_47</vt:lpstr>
      <vt:lpstr>catdw_1_XBV_1</vt:lpstr>
      <vt:lpstr>catfd_1_BHB_1</vt:lpstr>
      <vt:lpstr>catfd_1_BHV_47</vt:lpstr>
      <vt:lpstr>catfd_1_BHV_51</vt:lpstr>
      <vt:lpstr>catfd_1_DHB_1</vt:lpstr>
      <vt:lpstr>catfd_1_DHV_47</vt:lpstr>
      <vt:lpstr>catfd_1_EHB_1</vt:lpstr>
      <vt:lpstr>catfd_1_EHV_47</vt:lpstr>
      <vt:lpstr>catfd_1_GHB_1</vt:lpstr>
      <vt:lpstr>catfd_1_GHV_47</vt:lpstr>
      <vt:lpstr>catfd_1_IHB_1</vt:lpstr>
      <vt:lpstr>catfd_1_IHV_51</vt:lpstr>
      <vt:lpstr>catfd_1_KHB_1</vt:lpstr>
      <vt:lpstr>catfd_1_KHV_47</vt:lpstr>
      <vt:lpstr>catfd_1_LHB_1</vt:lpstr>
      <vt:lpstr>catfd_1_LHV_47</vt:lpstr>
      <vt:lpstr>catfd_1_LZV_1</vt:lpstr>
      <vt:lpstr>catfd_1_LZV_51</vt:lpstr>
      <vt:lpstr>catfd_1_PHB_1</vt:lpstr>
      <vt:lpstr>catfd_1_PHV_47</vt:lpstr>
      <vt:lpstr>catfd_1_PHV_51</vt:lpstr>
      <vt:lpstr>catfd_1_PUHB_1</vt:lpstr>
      <vt:lpstr>catfd_1_PUHV_47</vt:lpstr>
      <vt:lpstr>catfd_1_RHB_1</vt:lpstr>
      <vt:lpstr>catfd_1_RHV_47</vt:lpstr>
      <vt:lpstr>catfd_1_RHV_6</vt:lpstr>
      <vt:lpstr>catfd_1_SHB_1</vt:lpstr>
      <vt:lpstr>catfd_1_SHV_47</vt:lpstr>
      <vt:lpstr>catfd_1_SHV_51</vt:lpstr>
      <vt:lpstr>catfd_1_THB_1</vt:lpstr>
      <vt:lpstr>catfd_1_THV_47</vt:lpstr>
      <vt:lpstr>catfd_1_THV_51</vt:lpstr>
      <vt:lpstr>catfd_1_VHB_1</vt:lpstr>
      <vt:lpstr>catfd_1_VHV_47</vt:lpstr>
      <vt:lpstr>catfd_1_VHV_51</vt:lpstr>
      <vt:lpstr>catfd_1_VZB_1</vt:lpstr>
      <vt:lpstr>catfd_1_VZV_47</vt:lpstr>
      <vt:lpstr>catfd_1_XBV_1</vt:lpstr>
      <vt:lpstr>catpn_1_BHB_1</vt:lpstr>
      <vt:lpstr>catpn_1_BHV_47</vt:lpstr>
      <vt:lpstr>catpn_1_BHV_51</vt:lpstr>
      <vt:lpstr>catpn_1_DHB_1</vt:lpstr>
      <vt:lpstr>catpn_1_DHV_47</vt:lpstr>
      <vt:lpstr>catpn_1_EHB_1</vt:lpstr>
      <vt:lpstr>catpn_1_EHV_47</vt:lpstr>
      <vt:lpstr>catpn_1_GHB_1</vt:lpstr>
      <vt:lpstr>catpn_1_GHV_47</vt:lpstr>
      <vt:lpstr>catpn_1_IHB_1</vt:lpstr>
      <vt:lpstr>catpn_1_IHV_51</vt:lpstr>
      <vt:lpstr>catpn_1_KHB_1</vt:lpstr>
      <vt:lpstr>catpn_1_KHV_47</vt:lpstr>
      <vt:lpstr>catpn_1_LHB_1</vt:lpstr>
      <vt:lpstr>catpn_1_LHV_47</vt:lpstr>
      <vt:lpstr>catpn_1_LZV_1</vt:lpstr>
      <vt:lpstr>catpn_1_LZV_51</vt:lpstr>
      <vt:lpstr>catpn_1_PHB_1</vt:lpstr>
      <vt:lpstr>catpn_1_PHV_47</vt:lpstr>
      <vt:lpstr>catpn_1_PHV_51</vt:lpstr>
      <vt:lpstr>catpn_1_PUHB_1</vt:lpstr>
      <vt:lpstr>catpn_1_PUHV_47</vt:lpstr>
      <vt:lpstr>catpn_1_RHB_1</vt:lpstr>
      <vt:lpstr>catpn_1_RHV_47</vt:lpstr>
      <vt:lpstr>catpn_1_RHV_6</vt:lpstr>
      <vt:lpstr>catpn_1_SHB_1</vt:lpstr>
      <vt:lpstr>catpn_1_SHV_47</vt:lpstr>
      <vt:lpstr>catpn_1_SHV_51</vt:lpstr>
      <vt:lpstr>catpn_1_THB_1</vt:lpstr>
      <vt:lpstr>catpn_1_THV_47</vt:lpstr>
      <vt:lpstr>catpn_1_THV_51</vt:lpstr>
      <vt:lpstr>catpn_1_VHB_1</vt:lpstr>
      <vt:lpstr>catpn_1_VHV_47</vt:lpstr>
      <vt:lpstr>catpn_1_VHV_51</vt:lpstr>
      <vt:lpstr>catpn_1_VZB_1</vt:lpstr>
      <vt:lpstr>catpn_1_VZV_47</vt:lpstr>
      <vt:lpstr>catpn_1_XBV_1</vt:lpstr>
      <vt:lpstr>cattf_1_BHB_1</vt:lpstr>
      <vt:lpstr>cattf_1_BHV_47</vt:lpstr>
      <vt:lpstr>cattf_1_BHV_51</vt:lpstr>
      <vt:lpstr>cattf_1_DHB_1</vt:lpstr>
      <vt:lpstr>cattf_1_DHV_47</vt:lpstr>
      <vt:lpstr>cattf_1_EHB_1</vt:lpstr>
      <vt:lpstr>cattf_1_EHV_47</vt:lpstr>
      <vt:lpstr>cattf_1_GHB_1</vt:lpstr>
      <vt:lpstr>cattf_1_GHV_47</vt:lpstr>
      <vt:lpstr>cattf_1_IHB_1</vt:lpstr>
      <vt:lpstr>cattf_1_IHV_51</vt:lpstr>
      <vt:lpstr>cattf_1_KHB_1</vt:lpstr>
      <vt:lpstr>cattf_1_KHV_47</vt:lpstr>
      <vt:lpstr>cattf_1_LHB_1</vt:lpstr>
      <vt:lpstr>cattf_1_LHV_47</vt:lpstr>
      <vt:lpstr>cattf_1_LZV_1</vt:lpstr>
      <vt:lpstr>cattf_1_LZV_51</vt:lpstr>
      <vt:lpstr>cattf_1_PHB_1</vt:lpstr>
      <vt:lpstr>cattf_1_PHV_47</vt:lpstr>
      <vt:lpstr>cattf_1_PHV_51</vt:lpstr>
      <vt:lpstr>cattf_1_PUHB_1</vt:lpstr>
      <vt:lpstr>cattf_1_PUHV_47</vt:lpstr>
      <vt:lpstr>cattf_1_RHB_1</vt:lpstr>
      <vt:lpstr>cattf_1_RHV_47</vt:lpstr>
      <vt:lpstr>cattf_1_RHV_6</vt:lpstr>
      <vt:lpstr>cattf_1_SHB_1</vt:lpstr>
      <vt:lpstr>cattf_1_SHV_47</vt:lpstr>
      <vt:lpstr>cattf_1_SHV_51</vt:lpstr>
      <vt:lpstr>cattf_1_THB_1</vt:lpstr>
      <vt:lpstr>cattf_1_THV_47</vt:lpstr>
      <vt:lpstr>cattf_1_THV_51</vt:lpstr>
      <vt:lpstr>cattf_1_VHB_1</vt:lpstr>
      <vt:lpstr>cattf_1_VHV_47</vt:lpstr>
      <vt:lpstr>cattf_1_VHV_51</vt:lpstr>
      <vt:lpstr>cattf_1_VZB_1</vt:lpstr>
      <vt:lpstr>cattf_1_VZV_47</vt:lpstr>
      <vt:lpstr>cattf_1_XBV_1</vt:lpstr>
      <vt:lpstr>dagenperjaar1</vt:lpstr>
      <vt:lpstr>dagenperweek1</vt:lpstr>
      <vt:lpstr>dagsoorttabel1</vt:lpstr>
      <vt:lpstr>gemuurtarief1</vt:lpstr>
      <vt:lpstr>kengetaltabel1</vt:lpstr>
      <vt:lpstr>object1_opptabel1</vt:lpstr>
      <vt:lpstr>object2_opptabel1</vt:lpstr>
      <vt:lpstr>object3_opptabel1</vt:lpstr>
      <vt:lpstr>object4_opptabel1</vt:lpstr>
      <vt:lpstr>object5_opptabel1</vt:lpstr>
      <vt:lpstr>object6_opptabel1</vt:lpstr>
      <vt:lpstr>object7_opptabel1</vt:lpstr>
      <vt:lpstr>object8_opptabel1</vt:lpstr>
      <vt:lpstr>objectprijs1_1</vt:lpstr>
      <vt:lpstr>objectprijs2_1</vt:lpstr>
      <vt:lpstr>objectprijs3_1</vt:lpstr>
      <vt:lpstr>objectprijs4_1</vt:lpstr>
      <vt:lpstr>objectprijs5_1</vt:lpstr>
      <vt:lpstr>objectprijs6_1</vt:lpstr>
      <vt:lpstr>objectprijs7_1</vt:lpstr>
      <vt:lpstr>objectprijs8_1</vt:lpstr>
      <vt:lpstr>objecturen1_1</vt:lpstr>
      <vt:lpstr>objecturen2_1</vt:lpstr>
      <vt:lpstr>objecturen3_1</vt:lpstr>
      <vt:lpstr>objecturen4_1</vt:lpstr>
      <vt:lpstr>objecturen5_1</vt:lpstr>
      <vt:lpstr>objecturen6_1</vt:lpstr>
      <vt:lpstr>objecturen7_1</vt:lpstr>
      <vt:lpstr>objecturen8_1</vt:lpstr>
      <vt:lpstr>prijsdag1</vt:lpstr>
      <vt:lpstr>prijsjaar</vt:lpstr>
      <vt:lpstr>prijsjaar1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prodnorm14</vt:lpstr>
      <vt:lpstr>prodnorm15</vt:lpstr>
      <vt:lpstr>prodnorm16</vt:lpstr>
      <vt:lpstr>prodnorm17</vt:lpstr>
      <vt:lpstr>prodnorm18</vt:lpstr>
      <vt:lpstr>prodnorm19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taakfreqtabel1</vt:lpstr>
      <vt:lpstr>tabeltype</vt:lpstr>
      <vt:lpstr>tarieftabel1</vt:lpstr>
      <vt:lpstr>tzpjt1</vt:lpstr>
      <vt:lpstr>tzpjt1_1</vt:lpstr>
      <vt:lpstr>tzpjt2_1</vt:lpstr>
      <vt:lpstr>tzpjt3_1</vt:lpstr>
      <vt:lpstr>tzpjt4_1</vt:lpstr>
      <vt:lpstr>tzpjt5_1</vt:lpstr>
      <vt:lpstr>tzpjt6_1</vt:lpstr>
      <vt:lpstr>tzpjt7_1</vt:lpstr>
      <vt:lpstr>tzpjt8_1</vt:lpstr>
      <vt:lpstr>tzpmt1</vt:lpstr>
      <vt:lpstr>tzpmt1_1</vt:lpstr>
      <vt:lpstr>tzpmt2_1</vt:lpstr>
      <vt:lpstr>tzpmt3_1</vt:lpstr>
      <vt:lpstr>tzpmt4_1</vt:lpstr>
      <vt:lpstr>tzpmt5_1</vt:lpstr>
      <vt:lpstr>tzpmt6_1</vt:lpstr>
      <vt:lpstr>tzpmt7_1</vt:lpstr>
      <vt:lpstr>tzpmt8_1</vt:lpstr>
      <vt:lpstr>tzujt1</vt:lpstr>
      <vt:lpstr>tzujt1_1</vt:lpstr>
      <vt:lpstr>tzujt2_1</vt:lpstr>
      <vt:lpstr>tzujt3_1</vt:lpstr>
      <vt:lpstr>tzujt4_1</vt:lpstr>
      <vt:lpstr>tzujt5_1</vt:lpstr>
      <vt:lpstr>tzujt6_1</vt:lpstr>
      <vt:lpstr>tzujt7_1</vt:lpstr>
      <vt:lpstr>tzujt8_1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urenjaartotaaloverzicht</vt:lpstr>
      <vt:lpstr>uurfactortabel1</vt:lpstr>
      <vt:lpstr>uurtarief14</vt:lpstr>
      <vt:lpstr>uurtarief15</vt:lpstr>
      <vt:lpstr>uurtarief16</vt:lpstr>
      <vt:lpstr>uurtarief17</vt:lpstr>
      <vt:lpstr>uurtarief18</vt:lpstr>
      <vt:lpstr>uurtarief19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2021-12-20T10:00:10Z</dcterms:created>
  <dcterms:modified xsi:type="dcterms:W3CDTF">2021-12-20T10:03:16Z</dcterms:modified>
</cp:coreProperties>
</file>