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kienict.sharepoint.com/sites/Aanbestedingen/Gedeelde  documenten/2022 Werkplekken/09 - Aanbestedingsdocumenten voor publicatie/"/>
    </mc:Choice>
  </mc:AlternateContent>
  <xr:revisionPtr revIDLastSave="0" documentId="8_{0E8EF702-216E-4078-968D-05BBB0D4BE69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Wegingsfactoren Gunning" sheetId="1" r:id="rId1"/>
    <sheet name="Score - RANKING kwaliteit" sheetId="2" r:id="rId2"/>
    <sheet name="RANKING prijs-Kwaliti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3" l="1"/>
  <c r="F8" i="3"/>
  <c r="F6" i="3"/>
  <c r="A37" i="2"/>
  <c r="A5" i="2"/>
  <c r="A3" i="2"/>
  <c r="C13" i="2"/>
  <c r="C15" i="2"/>
  <c r="C20" i="2"/>
  <c r="C22" i="2"/>
  <c r="C24" i="2"/>
  <c r="C29" i="2"/>
  <c r="C31" i="2"/>
  <c r="C33" i="2"/>
  <c r="AG34" i="2"/>
  <c r="AG32" i="2"/>
  <c r="AG30" i="2"/>
  <c r="AG25" i="2"/>
  <c r="U25" i="2"/>
  <c r="U23" i="2"/>
  <c r="I21" i="2"/>
  <c r="I23" i="2"/>
  <c r="I25" i="2"/>
  <c r="AG23" i="2"/>
  <c r="AG22" i="2"/>
  <c r="AG21" i="2"/>
  <c r="AG16" i="2"/>
  <c r="AG14" i="2"/>
  <c r="D42" i="2"/>
  <c r="D40" i="2"/>
  <c r="D38" i="2"/>
  <c r="C43" i="2"/>
  <c r="C41" i="2"/>
  <c r="C39" i="2"/>
  <c r="C34" i="2"/>
  <c r="C32" i="2"/>
  <c r="C30" i="2"/>
  <c r="B34" i="2"/>
  <c r="B32" i="2"/>
  <c r="B30" i="2"/>
  <c r="A30" i="2" s="1"/>
  <c r="B33" i="2"/>
  <c r="B31" i="2"/>
  <c r="B29" i="2"/>
  <c r="A28" i="2"/>
  <c r="D33" i="2"/>
  <c r="AB33" i="2" s="1"/>
  <c r="A34" i="2"/>
  <c r="D29" i="2"/>
  <c r="D24" i="2"/>
  <c r="D22" i="2"/>
  <c r="D20" i="2"/>
  <c r="D15" i="2"/>
  <c r="D13" i="2"/>
  <c r="B8" i="2"/>
  <c r="D8" i="2"/>
  <c r="P8" i="2" s="1"/>
  <c r="AB8" i="2" s="1"/>
  <c r="D6" i="2"/>
  <c r="J6" i="2" s="1"/>
  <c r="P6" i="2" s="1"/>
  <c r="V6" i="2" s="1"/>
  <c r="AB6" i="2" s="1"/>
  <c r="B35" i="2" l="1"/>
  <c r="J33" i="2"/>
  <c r="P33" i="2"/>
  <c r="V33" i="2"/>
  <c r="J8" i="2"/>
  <c r="V8" i="2" s="1"/>
  <c r="G2" i="1" l="1"/>
  <c r="G3" i="1"/>
  <c r="F20" i="1"/>
  <c r="F21" i="1"/>
  <c r="F19" i="1"/>
  <c r="F5" i="1"/>
  <c r="G5" i="1" s="1"/>
  <c r="F10" i="3"/>
  <c r="F15" i="1"/>
  <c r="B38" i="2" l="1"/>
  <c r="C23" i="2"/>
  <c r="C16" i="2"/>
  <c r="F7" i="3" l="1"/>
  <c r="D10" i="3"/>
  <c r="F9" i="3"/>
  <c r="D9" i="3"/>
  <c r="D8" i="3"/>
  <c r="D7" i="3"/>
  <c r="D6" i="3"/>
  <c r="B43" i="2"/>
  <c r="A43" i="2" s="1"/>
  <c r="B41" i="2"/>
  <c r="A41" i="2" s="1"/>
  <c r="B39" i="2"/>
  <c r="C37" i="2"/>
  <c r="AB42" i="2"/>
  <c r="V42" i="2"/>
  <c r="P42" i="2"/>
  <c r="J42" i="2"/>
  <c r="AB40" i="2"/>
  <c r="V40" i="2"/>
  <c r="P40" i="2"/>
  <c r="J40" i="2"/>
  <c r="AB38" i="2"/>
  <c r="V38" i="2"/>
  <c r="P38" i="2"/>
  <c r="J38" i="2"/>
  <c r="H21" i="1"/>
  <c r="H20" i="1"/>
  <c r="J31" i="2"/>
  <c r="P31" i="2"/>
  <c r="V31" i="2"/>
  <c r="AB31" i="2"/>
  <c r="AB29" i="2"/>
  <c r="V29" i="2"/>
  <c r="P29" i="2"/>
  <c r="J29" i="2"/>
  <c r="B25" i="2"/>
  <c r="C25" i="2"/>
  <c r="B23" i="2"/>
  <c r="AB24" i="2"/>
  <c r="V24" i="2"/>
  <c r="P24" i="2"/>
  <c r="J24" i="2"/>
  <c r="AB22" i="2"/>
  <c r="V22" i="2"/>
  <c r="P22" i="2"/>
  <c r="J22" i="2"/>
  <c r="AB20" i="2"/>
  <c r="V20" i="2"/>
  <c r="P20" i="2"/>
  <c r="J20" i="2"/>
  <c r="AB15" i="2"/>
  <c r="V15" i="2"/>
  <c r="P15" i="2"/>
  <c r="J15" i="2"/>
  <c r="AB13" i="2"/>
  <c r="V13" i="2"/>
  <c r="P13" i="2"/>
  <c r="J13" i="2"/>
  <c r="C21" i="2"/>
  <c r="B21" i="2"/>
  <c r="B16" i="2"/>
  <c r="B15" i="2"/>
  <c r="C14" i="2"/>
  <c r="B14" i="2"/>
  <c r="B9" i="2"/>
  <c r="B7" i="2"/>
  <c r="C9" i="2"/>
  <c r="C7" i="2"/>
  <c r="C40" i="2" l="1"/>
  <c r="AG41" i="2" s="1"/>
  <c r="C42" i="2"/>
  <c r="AG43" i="2" s="1"/>
  <c r="C38" i="2"/>
  <c r="AG39" i="2" s="1"/>
  <c r="A14" i="2"/>
  <c r="A7" i="2"/>
  <c r="A9" i="2"/>
  <c r="B42" i="2"/>
  <c r="A16" i="2"/>
  <c r="B40" i="2"/>
  <c r="H19" i="1"/>
  <c r="A39" i="2"/>
  <c r="A32" i="2"/>
  <c r="A21" i="2"/>
  <c r="A25" i="2"/>
  <c r="A23" i="2"/>
  <c r="B44" i="2" l="1"/>
  <c r="U41" i="2"/>
  <c r="U40" i="2" s="1"/>
  <c r="O43" i="2"/>
  <c r="O42" i="2" s="1"/>
  <c r="I43" i="2"/>
  <c r="I42" i="2" s="1"/>
  <c r="U43" i="2"/>
  <c r="U42" i="2" s="1"/>
  <c r="AA43" i="2"/>
  <c r="AA42" i="2" s="1"/>
  <c r="AG42" i="2"/>
  <c r="U39" i="2"/>
  <c r="I39" i="2"/>
  <c r="I38" i="2" s="1"/>
  <c r="AA39" i="2"/>
  <c r="O39" i="2"/>
  <c r="O41" i="2" l="1"/>
  <c r="O40" i="2" s="1"/>
  <c r="I41" i="2"/>
  <c r="I40" i="2" s="1"/>
  <c r="I44" i="2" s="1"/>
  <c r="U38" i="2"/>
  <c r="U44" i="2" s="1"/>
  <c r="C44" i="2"/>
  <c r="AG40" i="2"/>
  <c r="AA41" i="2"/>
  <c r="AA40" i="2" s="1"/>
  <c r="O38" i="2"/>
  <c r="AA38" i="2"/>
  <c r="AG38" i="2"/>
  <c r="O44" i="2" l="1"/>
  <c r="AG44" i="2"/>
  <c r="AA44" i="2"/>
  <c r="B6" i="2" l="1"/>
  <c r="B10" i="2" s="1"/>
  <c r="B24" i="2" l="1"/>
  <c r="B22" i="2"/>
  <c r="F14" i="1"/>
  <c r="B20" i="2" s="1"/>
  <c r="B13" i="2"/>
  <c r="B17" i="2" s="1"/>
  <c r="B26" i="2" l="1"/>
  <c r="H24" i="1"/>
  <c r="H25" i="1"/>
  <c r="H26" i="1"/>
  <c r="H7" i="1"/>
  <c r="F9" i="1"/>
  <c r="G9" i="1" s="1"/>
  <c r="F23" i="1"/>
  <c r="F18" i="1"/>
  <c r="F13" i="1"/>
  <c r="G13" i="1" s="1"/>
  <c r="H6" i="1" l="1"/>
  <c r="A12" i="2"/>
  <c r="H10" i="1"/>
  <c r="H11" i="1"/>
  <c r="H16" i="1"/>
  <c r="H14" i="1"/>
  <c r="H15" i="1"/>
  <c r="A19" i="2"/>
  <c r="C19" i="2" s="1"/>
  <c r="C28" i="2"/>
  <c r="AA34" i="2" l="1"/>
  <c r="O34" i="2"/>
  <c r="I34" i="2"/>
  <c r="I33" i="2" s="1"/>
  <c r="AG33" i="2"/>
  <c r="U34" i="2"/>
  <c r="C12" i="2"/>
  <c r="C35" i="2" l="1"/>
  <c r="I30" i="2"/>
  <c r="I29" i="2" s="1"/>
  <c r="I32" i="2"/>
  <c r="AA33" i="2"/>
  <c r="O33" i="2"/>
  <c r="U33" i="2"/>
  <c r="AG24" i="2"/>
  <c r="C17" i="2"/>
  <c r="I16" i="2"/>
  <c r="O16" i="2"/>
  <c r="AA16" i="2"/>
  <c r="C26" i="2"/>
  <c r="U16" i="2"/>
  <c r="AA25" i="2"/>
  <c r="O25" i="2"/>
  <c r="AA23" i="2"/>
  <c r="O23" i="2"/>
  <c r="C5" i="2"/>
  <c r="AA21" i="2"/>
  <c r="O21" i="2"/>
  <c r="U21" i="2"/>
  <c r="AG29" i="2"/>
  <c r="U30" i="2"/>
  <c r="U29" i="2" s="1"/>
  <c r="AA30" i="2"/>
  <c r="AA29" i="2" s="1"/>
  <c r="O30" i="2"/>
  <c r="O29" i="2" s="1"/>
  <c r="O32" i="2"/>
  <c r="U32" i="2"/>
  <c r="AA32" i="2"/>
  <c r="C6" i="2" l="1"/>
  <c r="AG7" i="2" s="1"/>
  <c r="AG6" i="2" s="1"/>
  <c r="C8" i="2"/>
  <c r="AG9" i="2" s="1"/>
  <c r="O14" i="2"/>
  <c r="O17" i="2" s="1"/>
  <c r="AG17" i="2"/>
  <c r="AA14" i="2"/>
  <c r="AA17" i="2" s="1"/>
  <c r="U14" i="2"/>
  <c r="U17" i="2" s="1"/>
  <c r="I14" i="2"/>
  <c r="I17" i="2" s="1"/>
  <c r="U24" i="2"/>
  <c r="AA24" i="2"/>
  <c r="AA15" i="2"/>
  <c r="I15" i="2"/>
  <c r="O15" i="2"/>
  <c r="U15" i="2"/>
  <c r="AG20" i="2"/>
  <c r="AG26" i="2" s="1"/>
  <c r="AG15" i="2"/>
  <c r="I22" i="2"/>
  <c r="AA20" i="2"/>
  <c r="AG31" i="2"/>
  <c r="AG35" i="2" s="1"/>
  <c r="I20" i="2"/>
  <c r="AA31" i="2"/>
  <c r="AA35" i="2" s="1"/>
  <c r="O31" i="2"/>
  <c r="O35" i="2" s="1"/>
  <c r="O20" i="2"/>
  <c r="I24" i="2"/>
  <c r="I31" i="2"/>
  <c r="I35" i="2" s="1"/>
  <c r="U20" i="2"/>
  <c r="U22" i="2"/>
  <c r="O22" i="2"/>
  <c r="AA22" i="2"/>
  <c r="U31" i="2"/>
  <c r="U35" i="2" s="1"/>
  <c r="O24" i="2"/>
  <c r="U13" i="2" l="1"/>
  <c r="O13" i="2"/>
  <c r="AA13" i="2"/>
  <c r="AG13" i="2"/>
  <c r="I13" i="2"/>
  <c r="C10" i="2"/>
  <c r="U7" i="2"/>
  <c r="I7" i="2"/>
  <c r="I6" i="2" s="1"/>
  <c r="I26" i="2"/>
  <c r="O26" i="2"/>
  <c r="U26" i="2"/>
  <c r="AA26" i="2"/>
  <c r="O9" i="2"/>
  <c r="U9" i="2"/>
  <c r="I9" i="2"/>
  <c r="AA9" i="2"/>
  <c r="AA7" i="2"/>
  <c r="O7" i="2"/>
  <c r="I46" i="2" l="1"/>
  <c r="E15" i="3" s="1"/>
  <c r="AG10" i="2"/>
  <c r="AG46" i="2" s="1"/>
  <c r="AA10" i="2"/>
  <c r="AA46" i="2" s="1"/>
  <c r="U10" i="2"/>
  <c r="U46" i="2" s="1"/>
  <c r="I10" i="2"/>
  <c r="O10" i="2"/>
  <c r="O46" i="2" s="1"/>
  <c r="U8" i="2"/>
  <c r="AA8" i="2"/>
  <c r="AA6" i="2"/>
  <c r="AG8" i="2"/>
  <c r="I8" i="2"/>
  <c r="O8" i="2"/>
  <c r="O6" i="2"/>
  <c r="U6" i="2"/>
  <c r="F23" i="3" l="1"/>
  <c r="I47" i="2"/>
  <c r="AG47" i="2"/>
  <c r="E18" i="3"/>
  <c r="O47" i="2"/>
  <c r="F18" i="3"/>
  <c r="F26" i="3" s="1"/>
  <c r="F17" i="3"/>
  <c r="F25" i="3" s="1"/>
  <c r="E17" i="3"/>
  <c r="F16" i="3"/>
  <c r="F24" i="3" s="1"/>
  <c r="E16" i="3"/>
  <c r="E19" i="3" l="1"/>
  <c r="F19" i="3"/>
  <c r="F27" i="3" s="1"/>
  <c r="AA47" i="2"/>
  <c r="U47" i="2"/>
  <c r="D15" i="3" l="1"/>
  <c r="D16" i="3"/>
  <c r="D17" i="3"/>
  <c r="D19" i="3"/>
  <c r="D18" i="3"/>
  <c r="D26" i="3"/>
  <c r="E26" i="3" s="1"/>
  <c r="D25" i="3"/>
  <c r="E25" i="3" s="1"/>
  <c r="D27" i="3"/>
  <c r="E27" i="3" s="1"/>
  <c r="D24" i="3"/>
  <c r="E24" i="3" s="1"/>
  <c r="D23" i="3"/>
  <c r="E23" i="3" s="1"/>
</calcChain>
</file>

<file path=xl/sharedStrings.xml><?xml version="1.0" encoding="utf-8"?>
<sst xmlns="http://schemas.openxmlformats.org/spreadsheetml/2006/main" count="156" uniqueCount="71">
  <si>
    <t>Wegingsfactoren gunning</t>
  </si>
  <si>
    <t>Totaal</t>
  </si>
  <si>
    <t>Kwaliteit</t>
  </si>
  <si>
    <t>Processen</t>
  </si>
  <si>
    <t>Logistiek</t>
  </si>
  <si>
    <t>Prijs</t>
  </si>
  <si>
    <t>Wegingsfactoren</t>
  </si>
  <si>
    <t>Kwaliteitspunten</t>
  </si>
  <si>
    <t>Beoordelaar 1</t>
  </si>
  <si>
    <t>Beoordelaar 2</t>
  </si>
  <si>
    <t>Beoordelaar 3</t>
  </si>
  <si>
    <t>Beoordelaar 4</t>
  </si>
  <si>
    <t>Beoordelaar 5</t>
  </si>
  <si>
    <t>Fictief aantal</t>
  </si>
  <si>
    <t>Score gemiddeld</t>
  </si>
  <si>
    <t>Consistentie score beste</t>
  </si>
  <si>
    <t>Beoordelingscommissie heeft geen consesnus kunnen bereiken</t>
  </si>
  <si>
    <t>Inschrijver 1</t>
  </si>
  <si>
    <t>Inschrijver 2</t>
  </si>
  <si>
    <t>Inschrijver 3</t>
  </si>
  <si>
    <t>Inschrijver 4</t>
  </si>
  <si>
    <t>Inschrijver 5</t>
  </si>
  <si>
    <t>Gewogen score</t>
  </si>
  <si>
    <t>GAW-02</t>
  </si>
  <si>
    <t>PRW</t>
  </si>
  <si>
    <t>PRW-01</t>
  </si>
  <si>
    <t>PRW-02</t>
  </si>
  <si>
    <t>PRW-03</t>
  </si>
  <si>
    <t>SAW</t>
  </si>
  <si>
    <t>SAW-01</t>
  </si>
  <si>
    <t>SAW-02</t>
  </si>
  <si>
    <t>MVW</t>
  </si>
  <si>
    <t>Totaal score kwaliteit</t>
  </si>
  <si>
    <t>Rangorde kwaliteit (ongewogen)</t>
  </si>
  <si>
    <t>Weegfactoren</t>
  </si>
  <si>
    <t>prijs</t>
  </si>
  <si>
    <t xml:space="preserve">Kwaliteit </t>
  </si>
  <si>
    <t>Prijsaanbod</t>
  </si>
  <si>
    <t>Ranking prijs</t>
  </si>
  <si>
    <t xml:space="preserve">Gewogen Score prijs </t>
  </si>
  <si>
    <t xml:space="preserve">Gewogen score prijs en kwaliteit </t>
  </si>
  <si>
    <t xml:space="preserve">Ranking kwaliteit </t>
  </si>
  <si>
    <t xml:space="preserve">Score kwaliteit </t>
  </si>
  <si>
    <t xml:space="preserve">Gewogen score kwaliteit </t>
  </si>
  <si>
    <t>EINDSCORE</t>
  </si>
  <si>
    <t>Gewogen eindscore</t>
  </si>
  <si>
    <t xml:space="preserve">Samenwerking </t>
  </si>
  <si>
    <t>Continuïteit &amp; Flexibiliteit</t>
  </si>
  <si>
    <t>Privacy &amp; Security</t>
  </si>
  <si>
    <t>Service &amp; Support</t>
  </si>
  <si>
    <t>SLA, garantie &amp; reparatie</t>
  </si>
  <si>
    <t>SSW-01</t>
  </si>
  <si>
    <t>SSW-02</t>
  </si>
  <si>
    <t>Onderscheidend vermogen</t>
  </si>
  <si>
    <t>First time right</t>
  </si>
  <si>
    <t>Bestelproces</t>
  </si>
  <si>
    <t>Koopmanschap</t>
  </si>
  <si>
    <t>Transprarantie &amp; prijsbepaling</t>
  </si>
  <si>
    <t>KOW-01</t>
  </si>
  <si>
    <t>Productgroepen</t>
  </si>
  <si>
    <t>KOW-02</t>
  </si>
  <si>
    <t>KOW-03</t>
  </si>
  <si>
    <t>Maatschappelijke Verantwoordelijkheid</t>
  </si>
  <si>
    <t>R-ladder</t>
  </si>
  <si>
    <t>Repareerbaarheid</t>
  </si>
  <si>
    <t>Afvalverwerking &amp; Afvalcompensatie</t>
  </si>
  <si>
    <t>MVW-03</t>
  </si>
  <si>
    <t>MVW-01</t>
  </si>
  <si>
    <t>MVW-02</t>
  </si>
  <si>
    <t>SSW</t>
  </si>
  <si>
    <t>KOW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</si>
</sst>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243588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1D7F3"/>
        <bgColor indexed="64"/>
      </patternFill>
    </fill>
    <fill>
      <patternFill patternType="solid">
        <fgColor rgb="FFECEEFA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3">
    <xf numFmtId="0" fontId="0" fillId="0" borderId="0" xfId="0"/>
    <xf numFmtId="9" fontId="0" fillId="0" borderId="0" xfId="1" applyFont="1"/>
    <xf numFmtId="0" fontId="0" fillId="0" borderId="0" xfId="0" applyAlignment="1">
      <alignment wrapText="1"/>
    </xf>
    <xf numFmtId="9" fontId="3" fillId="0" borderId="8" xfId="1" applyFont="1" applyFill="1" applyBorder="1"/>
    <xf numFmtId="0" fontId="3" fillId="0" borderId="8" xfId="0" applyFont="1" applyBorder="1"/>
    <xf numFmtId="0" fontId="3" fillId="0" borderId="1" xfId="0" applyFont="1" applyBorder="1"/>
    <xf numFmtId="9" fontId="3" fillId="0" borderId="1" xfId="1" applyFont="1" applyFill="1" applyBorder="1"/>
    <xf numFmtId="0" fontId="3" fillId="0" borderId="6" xfId="0" applyFont="1" applyBorder="1"/>
    <xf numFmtId="9" fontId="3" fillId="0" borderId="6" xfId="1" applyFont="1" applyFill="1" applyBorder="1"/>
    <xf numFmtId="0" fontId="3" fillId="3" borderId="1" xfId="0" applyFont="1" applyFill="1" applyBorder="1"/>
    <xf numFmtId="9" fontId="3" fillId="3" borderId="1" xfId="1" applyFont="1" applyFill="1" applyBorder="1"/>
    <xf numFmtId="164" fontId="3" fillId="3" borderId="1" xfId="1" applyNumberFormat="1" applyFont="1" applyFill="1" applyBorder="1"/>
    <xf numFmtId="0" fontId="0" fillId="0" borderId="16" xfId="0" applyBorder="1"/>
    <xf numFmtId="0" fontId="5" fillId="2" borderId="17" xfId="0" applyFont="1" applyFill="1" applyBorder="1"/>
    <xf numFmtId="0" fontId="0" fillId="2" borderId="18" xfId="0" applyFill="1" applyBorder="1" applyAlignment="1">
      <alignment wrapText="1"/>
    </xf>
    <xf numFmtId="0" fontId="3" fillId="2" borderId="18" xfId="0" applyFont="1" applyFill="1" applyBorder="1"/>
    <xf numFmtId="9" fontId="4" fillId="2" borderId="18" xfId="1" applyFont="1" applyFill="1" applyBorder="1"/>
    <xf numFmtId="164" fontId="3" fillId="0" borderId="8" xfId="1" applyNumberFormat="1" applyFont="1" applyFill="1" applyBorder="1"/>
    <xf numFmtId="9" fontId="3" fillId="2" borderId="18" xfId="1" applyFont="1" applyFill="1" applyBorder="1"/>
    <xf numFmtId="0" fontId="8" fillId="0" borderId="0" xfId="0" applyFont="1"/>
    <xf numFmtId="0" fontId="0" fillId="0" borderId="0" xfId="0" applyAlignment="1" applyProtection="1">
      <alignment horizontal="center" vertical="center" textRotation="180"/>
      <protection locked="0"/>
    </xf>
    <xf numFmtId="0" fontId="10" fillId="0" borderId="0" xfId="0" applyFont="1" applyAlignment="1" applyProtection="1">
      <alignment textRotation="180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165" fontId="2" fillId="0" borderId="1" xfId="2" applyNumberFormat="1" applyFont="1" applyBorder="1" applyAlignment="1" applyProtection="1">
      <alignment horizontal="center" vertical="center"/>
      <protection locked="0"/>
    </xf>
    <xf numFmtId="0" fontId="10" fillId="4" borderId="22" xfId="0" applyFont="1" applyFill="1" applyBorder="1" applyProtection="1">
      <protection locked="0"/>
    </xf>
    <xf numFmtId="0" fontId="10" fillId="5" borderId="22" xfId="0" applyFont="1" applyFill="1" applyBorder="1" applyProtection="1">
      <protection locked="0"/>
    </xf>
    <xf numFmtId="0" fontId="10" fillId="6" borderId="22" xfId="0" applyFont="1" applyFill="1" applyBorder="1" applyProtection="1"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5" fontId="2" fillId="0" borderId="0" xfId="2" applyNumberFormat="1" applyFont="1" applyBorder="1" applyAlignment="1" applyProtection="1">
      <alignment horizontal="center" vertical="center"/>
      <protection locked="0"/>
    </xf>
    <xf numFmtId="9" fontId="2" fillId="0" borderId="0" xfId="0" applyNumberFormat="1" applyFont="1" applyProtection="1">
      <protection locked="0"/>
    </xf>
    <xf numFmtId="165" fontId="9" fillId="0" borderId="0" xfId="0" applyNumberFormat="1" applyFont="1" applyAlignment="1" applyProtection="1">
      <alignment horizontal="left"/>
      <protection locked="0"/>
    </xf>
    <xf numFmtId="0" fontId="10" fillId="5" borderId="1" xfId="0" applyFont="1" applyFill="1" applyBorder="1" applyProtection="1">
      <protection locked="0"/>
    </xf>
    <xf numFmtId="0" fontId="10" fillId="5" borderId="2" xfId="0" applyFont="1" applyFill="1" applyBorder="1" applyProtection="1">
      <protection locked="0"/>
    </xf>
    <xf numFmtId="0" fontId="10" fillId="5" borderId="23" xfId="0" applyFont="1" applyFill="1" applyBorder="1" applyProtection="1">
      <protection locked="0"/>
    </xf>
    <xf numFmtId="9" fontId="0" fillId="0" borderId="0" xfId="0" applyNumberFormat="1" applyProtection="1">
      <protection locked="0"/>
    </xf>
    <xf numFmtId="165" fontId="11" fillId="0" borderId="21" xfId="2" applyNumberFormat="1" applyFont="1" applyFill="1" applyBorder="1" applyProtection="1">
      <protection locked="0"/>
    </xf>
    <xf numFmtId="9" fontId="9" fillId="0" borderId="0" xfId="0" applyNumberFormat="1" applyFont="1" applyProtection="1">
      <protection locked="0"/>
    </xf>
    <xf numFmtId="0" fontId="10" fillId="0" borderId="23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2" xfId="0" applyFont="1" applyBorder="1" applyAlignment="1" applyProtection="1">
      <alignment horizontal="left"/>
      <protection locked="0"/>
    </xf>
    <xf numFmtId="165" fontId="2" fillId="0" borderId="0" xfId="2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165" fontId="10" fillId="0" borderId="27" xfId="2" applyNumberFormat="1" applyFont="1" applyFill="1" applyBorder="1" applyProtection="1">
      <protection locked="0"/>
    </xf>
    <xf numFmtId="165" fontId="10" fillId="0" borderId="21" xfId="0" applyNumberFormat="1" applyFont="1" applyBorder="1" applyProtection="1">
      <protection locked="0"/>
    </xf>
    <xf numFmtId="165" fontId="2" fillId="0" borderId="0" xfId="0" applyNumberFormat="1" applyFont="1" applyProtection="1">
      <protection locked="0"/>
    </xf>
    <xf numFmtId="165" fontId="11" fillId="0" borderId="0" xfId="2" applyNumberFormat="1" applyFont="1" applyFill="1" applyBorder="1" applyProtection="1">
      <protection locked="0"/>
    </xf>
    <xf numFmtId="9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165" fontId="10" fillId="0" borderId="1" xfId="0" applyNumberFormat="1" applyFont="1" applyBorder="1" applyProtection="1">
      <protection locked="0"/>
    </xf>
    <xf numFmtId="165" fontId="2" fillId="0" borderId="29" xfId="0" applyNumberFormat="1" applyFont="1" applyBorder="1" applyProtection="1"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2" fillId="0" borderId="0" xfId="0" applyFont="1"/>
    <xf numFmtId="0" fontId="10" fillId="0" borderId="0" xfId="0" applyFont="1"/>
    <xf numFmtId="44" fontId="10" fillId="7" borderId="1" xfId="3" applyFont="1" applyFill="1" applyBorder="1" applyAlignment="1"/>
    <xf numFmtId="9" fontId="2" fillId="0" borderId="0" xfId="1" applyFont="1" applyAlignment="1">
      <alignment horizontal="center"/>
    </xf>
    <xf numFmtId="9" fontId="0" fillId="0" borderId="31" xfId="1" applyFont="1" applyBorder="1"/>
    <xf numFmtId="9" fontId="0" fillId="0" borderId="32" xfId="1" applyFont="1" applyBorder="1"/>
    <xf numFmtId="0" fontId="0" fillId="0" borderId="32" xfId="0" applyBorder="1"/>
    <xf numFmtId="0" fontId="2" fillId="0" borderId="32" xfId="0" applyFont="1" applyBorder="1"/>
    <xf numFmtId="0" fontId="0" fillId="0" borderId="33" xfId="0" applyBorder="1"/>
    <xf numFmtId="0" fontId="2" fillId="0" borderId="34" xfId="0" applyFont="1" applyBorder="1"/>
    <xf numFmtId="0" fontId="10" fillId="0" borderId="34" xfId="0" applyFont="1" applyBorder="1"/>
    <xf numFmtId="0" fontId="0" fillId="0" borderId="34" xfId="0" applyBorder="1"/>
    <xf numFmtId="165" fontId="0" fillId="0" borderId="0" xfId="2" applyNumberFormat="1" applyFont="1" applyBorder="1"/>
    <xf numFmtId="0" fontId="10" fillId="0" borderId="36" xfId="0" applyFont="1" applyBorder="1"/>
    <xf numFmtId="0" fontId="0" fillId="0" borderId="28" xfId="0" applyBorder="1"/>
    <xf numFmtId="165" fontId="0" fillId="0" borderId="28" xfId="2" applyNumberFormat="1" applyFont="1" applyBorder="1"/>
    <xf numFmtId="1" fontId="0" fillId="0" borderId="28" xfId="0" applyNumberFormat="1" applyBorder="1"/>
    <xf numFmtId="0" fontId="0" fillId="0" borderId="31" xfId="0" applyBorder="1"/>
    <xf numFmtId="0" fontId="2" fillId="0" borderId="0" xfId="0" applyFont="1" applyAlignment="1">
      <alignment horizontal="left"/>
    </xf>
    <xf numFmtId="0" fontId="10" fillId="0" borderId="28" xfId="0" applyFont="1" applyBorder="1"/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1" fontId="0" fillId="0" borderId="0" xfId="0" applyNumberFormat="1"/>
    <xf numFmtId="0" fontId="12" fillId="0" borderId="0" xfId="0" applyFont="1"/>
    <xf numFmtId="0" fontId="2" fillId="0" borderId="35" xfId="0" applyFont="1" applyBorder="1" applyAlignment="1">
      <alignment horizontal="left"/>
    </xf>
    <xf numFmtId="165" fontId="0" fillId="0" borderId="35" xfId="2" applyNumberFormat="1" applyFont="1" applyBorder="1" applyAlignment="1">
      <alignment horizontal="center" vertical="center"/>
    </xf>
    <xf numFmtId="165" fontId="0" fillId="0" borderId="37" xfId="2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right"/>
    </xf>
    <xf numFmtId="165" fontId="0" fillId="0" borderId="35" xfId="2" applyNumberFormat="1" applyFont="1" applyBorder="1"/>
    <xf numFmtId="165" fontId="0" fillId="0" borderId="37" xfId="2" applyNumberFormat="1" applyFont="1" applyBorder="1"/>
    <xf numFmtId="0" fontId="2" fillId="0" borderId="33" xfId="0" applyFont="1" applyBorder="1" applyAlignment="1">
      <alignment horizontal="left"/>
    </xf>
    <xf numFmtId="44" fontId="10" fillId="7" borderId="24" xfId="3" applyFont="1" applyFill="1" applyBorder="1" applyAlignment="1"/>
    <xf numFmtId="0" fontId="10" fillId="0" borderId="28" xfId="0" applyFont="1" applyBorder="1" applyAlignment="1">
      <alignment horizontal="center"/>
    </xf>
    <xf numFmtId="0" fontId="3" fillId="0" borderId="0" xfId="0" applyFont="1"/>
    <xf numFmtId="164" fontId="3" fillId="0" borderId="39" xfId="0" applyNumberFormat="1" applyFont="1" applyBorder="1"/>
    <xf numFmtId="164" fontId="3" fillId="0" borderId="40" xfId="0" applyNumberFormat="1" applyFont="1" applyBorder="1"/>
    <xf numFmtId="164" fontId="3" fillId="3" borderId="39" xfId="0" applyNumberFormat="1" applyFont="1" applyFill="1" applyBorder="1"/>
    <xf numFmtId="164" fontId="3" fillId="0" borderId="41" xfId="0" applyNumberFormat="1" applyFont="1" applyBorder="1"/>
    <xf numFmtId="164" fontId="3" fillId="0" borderId="43" xfId="0" applyNumberFormat="1" applyFont="1" applyBorder="1"/>
    <xf numFmtId="164" fontId="3" fillId="0" borderId="14" xfId="0" applyNumberFormat="1" applyFont="1" applyBorder="1"/>
    <xf numFmtId="164" fontId="3" fillId="0" borderId="44" xfId="0" applyNumberFormat="1" applyFont="1" applyBorder="1"/>
    <xf numFmtId="164" fontId="3" fillId="0" borderId="16" xfId="0" applyNumberFormat="1" applyFont="1" applyBorder="1"/>
    <xf numFmtId="0" fontId="0" fillId="0" borderId="10" xfId="0" applyBorder="1"/>
    <xf numFmtId="164" fontId="3" fillId="3" borderId="45" xfId="0" applyNumberFormat="1" applyFont="1" applyFill="1" applyBorder="1"/>
    <xf numFmtId="164" fontId="3" fillId="3" borderId="11" xfId="0" applyNumberFormat="1" applyFont="1" applyFill="1" applyBorder="1"/>
    <xf numFmtId="9" fontId="0" fillId="0" borderId="52" xfId="1" applyFont="1" applyFill="1" applyBorder="1"/>
    <xf numFmtId="9" fontId="0" fillId="3" borderId="4" xfId="1" applyFont="1" applyFill="1" applyBorder="1"/>
    <xf numFmtId="164" fontId="4" fillId="2" borderId="53" xfId="1" applyNumberFormat="1" applyFont="1" applyFill="1" applyBorder="1"/>
    <xf numFmtId="9" fontId="3" fillId="0" borderId="54" xfId="0" applyNumberFormat="1" applyFont="1" applyBorder="1"/>
    <xf numFmtId="9" fontId="3" fillId="3" borderId="55" xfId="0" applyNumberFormat="1" applyFont="1" applyFill="1" applyBorder="1"/>
    <xf numFmtId="9" fontId="0" fillId="0" borderId="56" xfId="1" applyFont="1" applyFill="1" applyBorder="1"/>
    <xf numFmtId="9" fontId="0" fillId="0" borderId="3" xfId="1" applyFont="1" applyFill="1" applyBorder="1"/>
    <xf numFmtId="9" fontId="0" fillId="3" borderId="3" xfId="1" applyFont="1" applyFill="1" applyBorder="1"/>
    <xf numFmtId="9" fontId="0" fillId="0" borderId="9" xfId="1" applyFont="1" applyFill="1" applyBorder="1"/>
    <xf numFmtId="9" fontId="4" fillId="2" borderId="53" xfId="0" applyNumberFormat="1" applyFont="1" applyFill="1" applyBorder="1"/>
    <xf numFmtId="9" fontId="0" fillId="0" borderId="54" xfId="0" applyNumberFormat="1" applyBorder="1"/>
    <xf numFmtId="9" fontId="0" fillId="3" borderId="55" xfId="1" applyFont="1" applyFill="1" applyBorder="1"/>
    <xf numFmtId="9" fontId="4" fillId="2" borderId="53" xfId="1" applyFont="1" applyFill="1" applyBorder="1"/>
    <xf numFmtId="9" fontId="0" fillId="0" borderId="54" xfId="1" applyFont="1" applyFill="1" applyBorder="1"/>
    <xf numFmtId="9" fontId="0" fillId="0" borderId="55" xfId="0" applyNumberFormat="1" applyBorder="1"/>
    <xf numFmtId="9" fontId="0" fillId="0" borderId="57" xfId="1" applyFont="1" applyFill="1" applyBorder="1"/>
    <xf numFmtId="9" fontId="2" fillId="2" borderId="53" xfId="0" applyNumberFormat="1" applyFont="1" applyFill="1" applyBorder="1"/>
    <xf numFmtId="9" fontId="3" fillId="3" borderId="55" xfId="1" applyFont="1" applyFill="1" applyBorder="1"/>
    <xf numFmtId="9" fontId="3" fillId="0" borderId="55" xfId="1" applyFont="1" applyFill="1" applyBorder="1"/>
    <xf numFmtId="0" fontId="5" fillId="2" borderId="15" xfId="0" applyFont="1" applyFill="1" applyBorder="1"/>
    <xf numFmtId="0" fontId="5" fillId="2" borderId="14" xfId="0" applyFont="1" applyFill="1" applyBorder="1"/>
    <xf numFmtId="0" fontId="0" fillId="2" borderId="58" xfId="0" applyFill="1" applyBorder="1"/>
    <xf numFmtId="9" fontId="5" fillId="2" borderId="13" xfId="1" applyFont="1" applyFill="1" applyBorder="1" applyAlignment="1"/>
    <xf numFmtId="9" fontId="5" fillId="2" borderId="42" xfId="1" applyFont="1" applyFill="1" applyBorder="1" applyAlignment="1"/>
    <xf numFmtId="9" fontId="5" fillId="2" borderId="0" xfId="1" applyFont="1" applyFill="1" applyBorder="1" applyAlignment="1"/>
    <xf numFmtId="9" fontId="5" fillId="2" borderId="16" xfId="1" applyFont="1" applyFill="1" applyBorder="1" applyAlignment="1"/>
    <xf numFmtId="9" fontId="5" fillId="2" borderId="19" xfId="1" applyFont="1" applyFill="1" applyBorder="1" applyAlignment="1"/>
    <xf numFmtId="9" fontId="5" fillId="2" borderId="46" xfId="1" applyFont="1" applyFill="1" applyBorder="1" applyAlignment="1"/>
    <xf numFmtId="9" fontId="5" fillId="2" borderId="14" xfId="1" applyFont="1" applyFill="1" applyBorder="1" applyAlignment="1"/>
    <xf numFmtId="9" fontId="5" fillId="2" borderId="38" xfId="1" applyFont="1" applyFill="1" applyBorder="1" applyAlignment="1"/>
    <xf numFmtId="164" fontId="15" fillId="0" borderId="51" xfId="1" applyNumberFormat="1" applyFont="1" applyFill="1" applyBorder="1" applyAlignment="1"/>
    <xf numFmtId="164" fontId="15" fillId="0" borderId="47" xfId="1" applyNumberFormat="1" applyFont="1" applyFill="1" applyBorder="1" applyAlignment="1"/>
    <xf numFmtId="0" fontId="0" fillId="0" borderId="14" xfId="0" applyBorder="1"/>
    <xf numFmtId="0" fontId="3" fillId="0" borderId="22" xfId="0" applyFont="1" applyBorder="1"/>
    <xf numFmtId="0" fontId="7" fillId="2" borderId="19" xfId="0" applyFont="1" applyFill="1" applyBorder="1" applyAlignment="1">
      <alignment horizontal="left"/>
    </xf>
    <xf numFmtId="9" fontId="0" fillId="0" borderId="0" xfId="0" applyNumberForma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right"/>
      <protection locked="0"/>
    </xf>
    <xf numFmtId="9" fontId="0" fillId="0" borderId="0" xfId="0" applyNumberFormat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9" fontId="0" fillId="0" borderId="0" xfId="1" applyFont="1" applyBorder="1"/>
    <xf numFmtId="9" fontId="0" fillId="0" borderId="28" xfId="1" applyFont="1" applyBorder="1"/>
    <xf numFmtId="0" fontId="6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2" borderId="20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6" fillId="0" borderId="48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3" fillId="3" borderId="59" xfId="0" applyFont="1" applyFill="1" applyBorder="1" applyAlignment="1">
      <alignment horizontal="left" wrapText="1"/>
    </xf>
    <xf numFmtId="0" fontId="14" fillId="2" borderId="49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164" fontId="14" fillId="2" borderId="50" xfId="1" applyNumberFormat="1" applyFont="1" applyFill="1" applyBorder="1" applyAlignment="1">
      <alignment horizontal="center"/>
    </xf>
    <xf numFmtId="164" fontId="14" fillId="2" borderId="46" xfId="1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25" xfId="0" applyFont="1" applyBorder="1" applyAlignment="1" applyProtection="1">
      <alignment horizontal="right"/>
      <protection locked="0"/>
    </xf>
  </cellXfs>
  <cellStyles count="4">
    <cellStyle name="Komma" xfId="2" builtinId="3"/>
    <cellStyle name="Procent" xfId="1" builtinId="5"/>
    <cellStyle name="Standaard" xfId="0" builtinId="0"/>
    <cellStyle name="Valuta" xfId="3" builtinId="4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1D7F3"/>
      <color rgb="FFECEEFA"/>
      <color rgb="FFFFFFFF"/>
      <color rgb="FF2435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zoomScale="80" zoomScaleNormal="80" workbookViewId="0">
      <selection activeCell="K21" sqref="K21"/>
    </sheetView>
  </sheetViews>
  <sheetFormatPr defaultRowHeight="15.5" x14ac:dyDescent="0.35"/>
  <cols>
    <col min="2" max="2" width="14.453125" bestFit="1" customWidth="1"/>
    <col min="3" max="3" width="34.453125" style="2" bestFit="1" customWidth="1"/>
    <col min="4" max="4" width="14.54296875" customWidth="1"/>
    <col min="5" max="5" width="10" style="1" bestFit="1" customWidth="1"/>
    <col min="7" max="7" width="12" style="1" bestFit="1" customWidth="1"/>
    <col min="8" max="8" width="8.7265625" style="87"/>
  </cols>
  <sheetData>
    <row r="1" spans="1:8" ht="21.5" thickBot="1" x14ac:dyDescent="0.55000000000000004">
      <c r="B1" s="140" t="s">
        <v>0</v>
      </c>
      <c r="C1" s="140"/>
      <c r="D1" s="140"/>
      <c r="E1" s="140"/>
      <c r="F1" s="140"/>
      <c r="G1" s="140"/>
      <c r="H1" s="140"/>
    </row>
    <row r="2" spans="1:8" ht="27" thickTop="1" thickBot="1" x14ac:dyDescent="0.65">
      <c r="B2" s="155" t="s">
        <v>1</v>
      </c>
      <c r="C2" s="156"/>
      <c r="D2" s="156"/>
      <c r="E2" s="156"/>
      <c r="F2" s="156"/>
      <c r="G2" s="158">
        <f>SUM(G3+G28)</f>
        <v>1</v>
      </c>
      <c r="H2" s="159"/>
    </row>
    <row r="3" spans="1:8" ht="21.5" thickBot="1" x14ac:dyDescent="0.55000000000000004">
      <c r="B3" s="152" t="s">
        <v>2</v>
      </c>
      <c r="C3" s="153"/>
      <c r="D3" s="153"/>
      <c r="E3" s="153"/>
      <c r="F3" s="153"/>
      <c r="G3" s="129">
        <f>SUM(G5:G26)*(0.7)</f>
        <v>0.7</v>
      </c>
      <c r="H3" s="130"/>
    </row>
    <row r="4" spans="1:8" thickTop="1" thickBot="1" x14ac:dyDescent="0.4">
      <c r="B4" s="162"/>
      <c r="C4" s="162"/>
      <c r="D4" s="162"/>
      <c r="E4" s="162"/>
      <c r="F4" s="162"/>
      <c r="G4" s="162"/>
      <c r="H4" s="162"/>
    </row>
    <row r="5" spans="1:8" ht="19.5" thickTop="1" thickBot="1" x14ac:dyDescent="0.5">
      <c r="A5" s="12"/>
      <c r="B5" s="157" t="s">
        <v>46</v>
      </c>
      <c r="C5" s="157"/>
      <c r="D5" s="133"/>
      <c r="E5" s="18"/>
      <c r="F5" s="101">
        <f>SUM(F6:F7)</f>
        <v>1</v>
      </c>
      <c r="G5" s="121">
        <f>SUM(F5*0.15)</f>
        <v>0.15</v>
      </c>
      <c r="H5" s="122"/>
    </row>
    <row r="6" spans="1:8" x14ac:dyDescent="0.35">
      <c r="A6" s="12"/>
      <c r="B6" s="145" t="s">
        <v>47</v>
      </c>
      <c r="C6" s="146"/>
      <c r="D6" s="4" t="s">
        <v>29</v>
      </c>
      <c r="E6" s="17">
        <v>1</v>
      </c>
      <c r="F6" s="102">
        <v>0.6</v>
      </c>
      <c r="G6" s="99"/>
      <c r="H6" s="91">
        <f>SUM((G5*F6)*E6)</f>
        <v>0.09</v>
      </c>
    </row>
    <row r="7" spans="1:8" ht="16" thickBot="1" x14ac:dyDescent="0.4">
      <c r="A7" s="12"/>
      <c r="B7" s="154" t="s">
        <v>48</v>
      </c>
      <c r="C7" s="147"/>
      <c r="D7" s="9" t="s">
        <v>30</v>
      </c>
      <c r="E7" s="11">
        <v>1</v>
      </c>
      <c r="F7" s="103">
        <v>0.4</v>
      </c>
      <c r="G7" s="100"/>
      <c r="H7" s="98">
        <f>SUM((G5*F7)*E7)</f>
        <v>0.06</v>
      </c>
    </row>
    <row r="8" spans="1:8" ht="16.5" thickTop="1" thickBot="1" x14ac:dyDescent="0.4">
      <c r="B8" s="131"/>
      <c r="C8" s="131"/>
      <c r="D8" s="131"/>
      <c r="E8" s="131"/>
      <c r="F8" s="131"/>
      <c r="G8" s="131"/>
      <c r="H8" s="93"/>
    </row>
    <row r="9" spans="1:8" ht="19.5" thickTop="1" thickBot="1" x14ac:dyDescent="0.5">
      <c r="A9" s="12"/>
      <c r="B9" s="143" t="s">
        <v>49</v>
      </c>
      <c r="C9" s="144"/>
      <c r="D9" s="15"/>
      <c r="E9" s="16"/>
      <c r="F9" s="108">
        <f>SUM(F10:F11)</f>
        <v>1</v>
      </c>
      <c r="G9" s="123">
        <f>SUM(F9*0.3)</f>
        <v>0.3</v>
      </c>
      <c r="H9" s="124"/>
    </row>
    <row r="10" spans="1:8" x14ac:dyDescent="0.35">
      <c r="A10" s="12"/>
      <c r="B10" s="145" t="s">
        <v>50</v>
      </c>
      <c r="C10" s="146"/>
      <c r="D10" s="4" t="s">
        <v>51</v>
      </c>
      <c r="E10" s="17">
        <v>1</v>
      </c>
      <c r="F10" s="109">
        <v>0.6</v>
      </c>
      <c r="G10" s="104"/>
      <c r="H10" s="92">
        <f>SUM((G9*F10)*E10)</f>
        <v>0.18</v>
      </c>
    </row>
    <row r="11" spans="1:8" ht="16" thickBot="1" x14ac:dyDescent="0.4">
      <c r="A11" s="12"/>
      <c r="B11" s="147" t="s">
        <v>53</v>
      </c>
      <c r="C11" s="148"/>
      <c r="D11" s="9" t="s">
        <v>52</v>
      </c>
      <c r="E11" s="11">
        <v>1</v>
      </c>
      <c r="F11" s="110">
        <v>0.4</v>
      </c>
      <c r="G11" s="106"/>
      <c r="H11" s="90">
        <f>SUM((G9*F11)*E11)</f>
        <v>0.12</v>
      </c>
    </row>
    <row r="12" spans="1:8" ht="14.5" customHeight="1" thickTop="1" thickBot="1" x14ac:dyDescent="0.4">
      <c r="B12" s="160"/>
      <c r="C12" s="160"/>
      <c r="D12" s="160"/>
      <c r="E12" s="160"/>
      <c r="F12" s="160"/>
      <c r="G12" s="160"/>
      <c r="H12" s="160"/>
    </row>
    <row r="13" spans="1:8" ht="19.5" thickTop="1" thickBot="1" x14ac:dyDescent="0.5">
      <c r="A13" s="12"/>
      <c r="B13" s="143" t="s">
        <v>3</v>
      </c>
      <c r="C13" s="144"/>
      <c r="D13" s="15"/>
      <c r="E13" s="16"/>
      <c r="F13" s="111">
        <f>SUM(F14:F16)</f>
        <v>1</v>
      </c>
      <c r="G13" s="121">
        <f>SUM(F13*0.3)</f>
        <v>0.3</v>
      </c>
      <c r="H13" s="122"/>
    </row>
    <row r="14" spans="1:8" x14ac:dyDescent="0.35">
      <c r="A14" s="12"/>
      <c r="B14" s="149" t="s">
        <v>54</v>
      </c>
      <c r="C14" s="149"/>
      <c r="D14" s="132" t="s">
        <v>25</v>
      </c>
      <c r="E14" s="3">
        <v>1</v>
      </c>
      <c r="F14" s="112">
        <f>SUM(E14:E14)*(0.25)</f>
        <v>0.25</v>
      </c>
      <c r="G14" s="104"/>
      <c r="H14" s="94">
        <f>SUM((G13*F14)*E14)</f>
        <v>7.4999999999999997E-2</v>
      </c>
    </row>
    <row r="15" spans="1:8" x14ac:dyDescent="0.35">
      <c r="A15" s="12"/>
      <c r="B15" s="150" t="s">
        <v>55</v>
      </c>
      <c r="C15" s="151"/>
      <c r="D15" s="9" t="s">
        <v>26</v>
      </c>
      <c r="E15" s="10">
        <v>1</v>
      </c>
      <c r="F15" s="110">
        <f>SUM(E15:E15)*(0.5)</f>
        <v>0.5</v>
      </c>
      <c r="G15" s="106"/>
      <c r="H15" s="97">
        <f>SUM((G13*F15)*E15)</f>
        <v>0.15</v>
      </c>
    </row>
    <row r="16" spans="1:8" ht="16" thickBot="1" x14ac:dyDescent="0.4">
      <c r="A16" s="12"/>
      <c r="B16" s="141" t="s">
        <v>4</v>
      </c>
      <c r="C16" s="142"/>
      <c r="D16" s="5" t="s">
        <v>27</v>
      </c>
      <c r="E16" s="6">
        <v>1</v>
      </c>
      <c r="F16" s="113">
        <v>0.25</v>
      </c>
      <c r="G16" s="105"/>
      <c r="H16" s="95">
        <f>SUM((G13*F16)*E16)</f>
        <v>7.4999999999999997E-2</v>
      </c>
    </row>
    <row r="17" spans="1:9" thickTop="1" thickBot="1" x14ac:dyDescent="0.4">
      <c r="B17" s="162"/>
      <c r="C17" s="162"/>
      <c r="D17" s="162"/>
      <c r="E17" s="162"/>
      <c r="F17" s="162"/>
      <c r="G17" s="162"/>
      <c r="H17" s="162"/>
    </row>
    <row r="18" spans="1:9" ht="19.5" thickTop="1" thickBot="1" x14ac:dyDescent="0.5">
      <c r="A18" s="12"/>
      <c r="B18" s="143" t="s">
        <v>56</v>
      </c>
      <c r="C18" s="144"/>
      <c r="D18" s="15"/>
      <c r="E18" s="16"/>
      <c r="F18" s="111">
        <f>SUM(F19:F21)</f>
        <v>1</v>
      </c>
      <c r="G18" s="125">
        <v>0.15</v>
      </c>
      <c r="H18" s="126"/>
      <c r="I18" s="19"/>
    </row>
    <row r="19" spans="1:9" x14ac:dyDescent="0.35">
      <c r="A19" s="12"/>
      <c r="B19" s="145" t="s">
        <v>57</v>
      </c>
      <c r="C19" s="146"/>
      <c r="D19" s="4" t="s">
        <v>58</v>
      </c>
      <c r="E19" s="3">
        <v>1</v>
      </c>
      <c r="F19" s="112">
        <f>SUM(E19:E19)*(0.3)</f>
        <v>0.3</v>
      </c>
      <c r="G19" s="104"/>
      <c r="H19" s="95">
        <f>SUM((G18*F19)*E19)</f>
        <v>4.4999999999999998E-2</v>
      </c>
    </row>
    <row r="20" spans="1:9" x14ac:dyDescent="0.35">
      <c r="A20" s="12"/>
      <c r="B20" s="147" t="s">
        <v>59</v>
      </c>
      <c r="C20" s="148"/>
      <c r="D20" s="9" t="s">
        <v>60</v>
      </c>
      <c r="E20" s="10">
        <v>1</v>
      </c>
      <c r="F20" s="110">
        <f>SUM(E20:E20)*(0.4)</f>
        <v>0.4</v>
      </c>
      <c r="G20" s="106"/>
      <c r="H20" s="97">
        <f>SUM((G18*F20)*E20)</f>
        <v>0.06</v>
      </c>
    </row>
    <row r="21" spans="1:9" ht="16" thickBot="1" x14ac:dyDescent="0.4">
      <c r="A21" s="12"/>
      <c r="B21" s="163" t="s">
        <v>53</v>
      </c>
      <c r="C21" s="164"/>
      <c r="D21" s="7" t="s">
        <v>61</v>
      </c>
      <c r="E21" s="8">
        <v>1</v>
      </c>
      <c r="F21" s="114">
        <f>SUM(E21:E21)*(0.3)</f>
        <v>0.3</v>
      </c>
      <c r="G21" s="107"/>
      <c r="H21" s="89">
        <f>SUM((G18*F21)*E21)</f>
        <v>4.4999999999999998E-2</v>
      </c>
    </row>
    <row r="22" spans="1:9" ht="16.5" thickTop="1" thickBot="1" x14ac:dyDescent="0.4">
      <c r="B22" s="160"/>
      <c r="C22" s="160"/>
      <c r="D22" s="160"/>
      <c r="E22" s="160"/>
      <c r="F22" s="160"/>
      <c r="G22" s="160"/>
      <c r="H22" s="160"/>
    </row>
    <row r="23" spans="1:9" ht="19.5" thickTop="1" thickBot="1" x14ac:dyDescent="0.5">
      <c r="A23" s="12"/>
      <c r="B23" s="13" t="s">
        <v>62</v>
      </c>
      <c r="C23" s="14"/>
      <c r="D23" s="15"/>
      <c r="E23" s="16"/>
      <c r="F23" s="115">
        <f>SUM(F24:F26)</f>
        <v>1</v>
      </c>
      <c r="G23" s="125">
        <v>0.1</v>
      </c>
      <c r="H23" s="126"/>
    </row>
    <row r="24" spans="1:9" x14ac:dyDescent="0.35">
      <c r="A24" s="12"/>
      <c r="B24" s="145" t="s">
        <v>63</v>
      </c>
      <c r="C24" s="146"/>
      <c r="D24" s="4" t="s">
        <v>67</v>
      </c>
      <c r="E24" s="3">
        <v>1</v>
      </c>
      <c r="F24" s="112">
        <v>0.5</v>
      </c>
      <c r="G24" s="104"/>
      <c r="H24" s="95">
        <f t="shared" ref="H24" si="0">SUM((G23*F24)*E24)</f>
        <v>0.05</v>
      </c>
    </row>
    <row r="25" spans="1:9" x14ac:dyDescent="0.35">
      <c r="A25" s="12"/>
      <c r="B25" s="147" t="s">
        <v>64</v>
      </c>
      <c r="C25" s="148"/>
      <c r="D25" s="9" t="s">
        <v>68</v>
      </c>
      <c r="E25" s="10">
        <v>1</v>
      </c>
      <c r="F25" s="116">
        <v>0.25</v>
      </c>
      <c r="G25" s="106"/>
      <c r="H25" s="90">
        <f>SUM((G23*F25)*E25)</f>
        <v>2.5000000000000001E-2</v>
      </c>
    </row>
    <row r="26" spans="1:9" ht="14.5" customHeight="1" thickBot="1" x14ac:dyDescent="0.4">
      <c r="A26" s="12"/>
      <c r="B26" s="141" t="s">
        <v>65</v>
      </c>
      <c r="C26" s="142"/>
      <c r="D26" s="5" t="s">
        <v>66</v>
      </c>
      <c r="E26" s="6">
        <v>1</v>
      </c>
      <c r="F26" s="117">
        <v>0.25</v>
      </c>
      <c r="G26" s="105"/>
      <c r="H26" s="88">
        <f>SUM((G23*F26)*E26)</f>
        <v>2.5000000000000001E-2</v>
      </c>
    </row>
    <row r="27" spans="1:9" ht="16.5" thickTop="1" thickBot="1" x14ac:dyDescent="0.4">
      <c r="B27" s="160"/>
      <c r="C27" s="160"/>
      <c r="D27" s="160"/>
      <c r="E27" s="160"/>
      <c r="F27" s="160"/>
      <c r="G27" s="160"/>
      <c r="H27" s="160"/>
    </row>
    <row r="28" spans="1:9" ht="19.5" thickTop="1" thickBot="1" x14ac:dyDescent="0.5">
      <c r="B28" s="118" t="s">
        <v>5</v>
      </c>
      <c r="C28" s="119"/>
      <c r="D28" s="119"/>
      <c r="E28" s="119"/>
      <c r="F28" s="120"/>
      <c r="G28" s="127">
        <v>0.3</v>
      </c>
      <c r="H28" s="128"/>
      <c r="I28" s="96"/>
    </row>
    <row r="29" spans="1:9" ht="16" customHeight="1" thickTop="1" x14ac:dyDescent="0.35">
      <c r="B29" s="161"/>
      <c r="C29" s="161"/>
      <c r="D29" s="161"/>
      <c r="E29" s="161"/>
      <c r="F29" s="161"/>
      <c r="G29" s="161"/>
      <c r="H29" s="161"/>
    </row>
  </sheetData>
  <mergeCells count="27">
    <mergeCell ref="B27:H27"/>
    <mergeCell ref="B29:H29"/>
    <mergeCell ref="B4:H4"/>
    <mergeCell ref="B12:H12"/>
    <mergeCell ref="B24:C24"/>
    <mergeCell ref="B25:C25"/>
    <mergeCell ref="B26:C26"/>
    <mergeCell ref="B20:C20"/>
    <mergeCell ref="B21:C21"/>
    <mergeCell ref="B22:H22"/>
    <mergeCell ref="B18:C18"/>
    <mergeCell ref="B19:C19"/>
    <mergeCell ref="B17:H17"/>
    <mergeCell ref="B1:H1"/>
    <mergeCell ref="B16:C16"/>
    <mergeCell ref="B9:C9"/>
    <mergeCell ref="B10:C10"/>
    <mergeCell ref="B11:C11"/>
    <mergeCell ref="B13:C13"/>
    <mergeCell ref="B14:C14"/>
    <mergeCell ref="B15:C15"/>
    <mergeCell ref="B3:F3"/>
    <mergeCell ref="B7:C7"/>
    <mergeCell ref="B2:F2"/>
    <mergeCell ref="B5:C5"/>
    <mergeCell ref="B6:C6"/>
    <mergeCell ref="G2:H2"/>
  </mergeCells>
  <conditionalFormatting sqref="G2">
    <cfRule type="cellIs" dxfId="8" priority="19" operator="lessThan">
      <formula>0.999</formula>
    </cfRule>
    <cfRule type="cellIs" dxfId="7" priority="20" operator="greaterThan">
      <formula>1.001</formula>
    </cfRule>
  </conditionalFormatting>
  <conditionalFormatting sqref="G3">
    <cfRule type="cellIs" dxfId="6" priority="17" operator="lessThan">
      <formula>0.6995</formula>
    </cfRule>
    <cfRule type="cellIs" dxfId="5" priority="18" operator="greaterThan">
      <formula>0.701</formula>
    </cfRule>
  </conditionalFormatting>
  <conditionalFormatting sqref="E24:E26 E19:E21 E6:E7 E10:E11 E14:E16">
    <cfRule type="cellIs" dxfId="4" priority="16" operator="lessThan">
      <formula>0.05</formula>
    </cfRule>
  </conditionalFormatting>
  <conditionalFormatting sqref="H24:H26 H19:H21 H6:H7 H10:H11 H14:H16">
    <cfRule type="cellIs" dxfId="3" priority="8" operator="lessThan">
      <formula>0.01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G48"/>
  <sheetViews>
    <sheetView topLeftCell="B20" zoomScale="85" zoomScaleNormal="85" workbookViewId="0">
      <selection activeCell="AI10" sqref="AI10"/>
    </sheetView>
  </sheetViews>
  <sheetFormatPr defaultColWidth="9.1796875" defaultRowHeight="14.5" x14ac:dyDescent="0.35"/>
  <cols>
    <col min="1" max="1" width="9.81640625" style="23" customWidth="1"/>
    <col min="2" max="2" width="9.7265625" style="23" customWidth="1"/>
    <col min="3" max="3" width="13.7265625" style="23" customWidth="1"/>
    <col min="4" max="8" width="4.7265625" style="23" customWidth="1"/>
    <col min="9" max="9" width="10.54296875" style="23" customWidth="1"/>
    <col min="10" max="14" width="4.7265625" style="23" customWidth="1"/>
    <col min="15" max="15" width="10.54296875" style="23" customWidth="1"/>
    <col min="16" max="20" width="4.7265625" style="23" customWidth="1"/>
    <col min="21" max="21" width="10.54296875" style="23" customWidth="1"/>
    <col min="22" max="26" width="4.7265625" style="23" customWidth="1"/>
    <col min="27" max="27" width="10.54296875" style="23" customWidth="1"/>
    <col min="28" max="32" width="4.7265625" style="23" customWidth="1"/>
    <col min="33" max="33" width="11" style="23" customWidth="1"/>
    <col min="34" max="16384" width="9.1796875" style="23"/>
  </cols>
  <sheetData>
    <row r="2" spans="1:33" ht="82.5" thickBot="1" x14ac:dyDescent="0.4">
      <c r="A2" s="20" t="s">
        <v>6</v>
      </c>
      <c r="C2" s="20" t="s">
        <v>7</v>
      </c>
      <c r="D2" s="21" t="s">
        <v>8</v>
      </c>
      <c r="E2" s="21" t="s">
        <v>9</v>
      </c>
      <c r="F2" s="21" t="s">
        <v>10</v>
      </c>
      <c r="G2" s="21" t="s">
        <v>11</v>
      </c>
      <c r="H2" s="21" t="s">
        <v>12</v>
      </c>
      <c r="I2" s="22"/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  <c r="O2" s="22"/>
      <c r="P2" s="21" t="s">
        <v>8</v>
      </c>
      <c r="Q2" s="21" t="s">
        <v>9</v>
      </c>
      <c r="R2" s="21" t="s">
        <v>10</v>
      </c>
      <c r="S2" s="21" t="s">
        <v>11</v>
      </c>
      <c r="T2" s="21" t="s">
        <v>12</v>
      </c>
      <c r="U2" s="22"/>
      <c r="V2" s="21" t="s">
        <v>8</v>
      </c>
      <c r="W2" s="21" t="s">
        <v>9</v>
      </c>
      <c r="X2" s="21" t="s">
        <v>10</v>
      </c>
      <c r="Y2" s="21" t="s">
        <v>11</v>
      </c>
      <c r="Z2" s="21" t="s">
        <v>12</v>
      </c>
      <c r="AA2" s="22"/>
      <c r="AB2" s="21" t="s">
        <v>8</v>
      </c>
      <c r="AC2" s="21" t="s">
        <v>9</v>
      </c>
      <c r="AD2" s="21" t="s">
        <v>10</v>
      </c>
      <c r="AE2" s="21" t="s">
        <v>11</v>
      </c>
      <c r="AF2" s="21" t="s">
        <v>12</v>
      </c>
      <c r="AG2" s="22"/>
    </row>
    <row r="3" spans="1:33" x14ac:dyDescent="0.35">
      <c r="A3" s="24">
        <f>A5+A12+A19+A28+A37</f>
        <v>1</v>
      </c>
      <c r="C3" s="25">
        <v>1200000</v>
      </c>
      <c r="D3" s="22" t="s">
        <v>13</v>
      </c>
      <c r="E3" s="21"/>
      <c r="F3" s="21"/>
      <c r="G3" s="21"/>
      <c r="H3" s="21"/>
      <c r="I3" s="26"/>
      <c r="J3" s="171" t="s">
        <v>14</v>
      </c>
      <c r="K3" s="171"/>
      <c r="L3" s="171"/>
      <c r="M3" s="171"/>
      <c r="N3" s="171"/>
      <c r="O3" s="27"/>
      <c r="P3" s="171" t="s">
        <v>15</v>
      </c>
      <c r="Q3" s="171"/>
      <c r="R3" s="171"/>
      <c r="S3" s="171"/>
      <c r="T3" s="171"/>
      <c r="U3" s="28"/>
      <c r="V3" s="171" t="s">
        <v>16</v>
      </c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22"/>
    </row>
    <row r="4" spans="1:33" x14ac:dyDescent="0.35">
      <c r="C4" s="43"/>
      <c r="D4" s="22"/>
      <c r="E4" s="21"/>
      <c r="F4" s="21"/>
      <c r="G4" s="21"/>
      <c r="H4" s="21"/>
      <c r="I4" s="22"/>
      <c r="J4" s="44"/>
      <c r="K4" s="44"/>
      <c r="L4" s="44"/>
      <c r="M4" s="44"/>
      <c r="N4" s="44"/>
      <c r="O4" s="22"/>
      <c r="P4" s="44"/>
      <c r="Q4" s="44"/>
      <c r="R4" s="44"/>
      <c r="S4" s="44"/>
      <c r="T4" s="44"/>
      <c r="U4" s="22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22"/>
    </row>
    <row r="5" spans="1:33" x14ac:dyDescent="0.35">
      <c r="A5" s="29">
        <f>'Wegingsfactoren Gunning'!G5</f>
        <v>0.15</v>
      </c>
      <c r="B5" s="30" t="s">
        <v>28</v>
      </c>
      <c r="C5" s="47">
        <f>$C$3*A5</f>
        <v>180000</v>
      </c>
      <c r="D5" s="168" t="s">
        <v>17</v>
      </c>
      <c r="E5" s="168"/>
      <c r="F5" s="168"/>
      <c r="G5" s="168"/>
      <c r="H5" s="168"/>
      <c r="I5" s="22"/>
      <c r="J5" s="168" t="s">
        <v>18</v>
      </c>
      <c r="K5" s="168"/>
      <c r="L5" s="168"/>
      <c r="M5" s="168"/>
      <c r="N5" s="168"/>
      <c r="O5" s="22"/>
      <c r="P5" s="168" t="s">
        <v>19</v>
      </c>
      <c r="Q5" s="168"/>
      <c r="R5" s="168"/>
      <c r="S5" s="168"/>
      <c r="T5" s="168"/>
      <c r="U5" s="22"/>
      <c r="V5" s="168" t="s">
        <v>20</v>
      </c>
      <c r="W5" s="168"/>
      <c r="X5" s="168"/>
      <c r="Y5" s="168"/>
      <c r="Z5" s="168"/>
      <c r="AA5" s="22"/>
      <c r="AB5" s="168" t="s">
        <v>21</v>
      </c>
      <c r="AC5" s="168"/>
      <c r="AD5" s="168"/>
      <c r="AE5" s="168"/>
      <c r="AF5" s="168"/>
      <c r="AG5" s="22"/>
    </row>
    <row r="6" spans="1:33" x14ac:dyDescent="0.35">
      <c r="B6" s="31">
        <f>'Wegingsfactoren Gunning'!F6</f>
        <v>0.6</v>
      </c>
      <c r="C6" s="32">
        <f>$C$5*B6</f>
        <v>108000</v>
      </c>
      <c r="D6" s="167" t="str">
        <f>'Wegingsfactoren Gunning'!D6</f>
        <v>SAW-01</v>
      </c>
      <c r="E6" s="167"/>
      <c r="F6" s="167"/>
      <c r="G6" s="167"/>
      <c r="H6" s="167"/>
      <c r="I6" s="51">
        <f>SUM(I7:I7)</f>
        <v>108000</v>
      </c>
      <c r="J6" s="167" t="str">
        <f>D6</f>
        <v>SAW-01</v>
      </c>
      <c r="K6" s="167"/>
      <c r="L6" s="167"/>
      <c r="M6" s="167"/>
      <c r="N6" s="167"/>
      <c r="O6" s="51">
        <f>SUM(O7:O7)</f>
        <v>108000</v>
      </c>
      <c r="P6" s="167" t="str">
        <f>J6</f>
        <v>SAW-01</v>
      </c>
      <c r="Q6" s="167"/>
      <c r="R6" s="167"/>
      <c r="S6" s="167"/>
      <c r="T6" s="167"/>
      <c r="U6" s="51">
        <f>SUM(U7:U7)</f>
        <v>36720</v>
      </c>
      <c r="V6" s="167" t="str">
        <f>P6</f>
        <v>SAW-01</v>
      </c>
      <c r="W6" s="167"/>
      <c r="X6" s="167"/>
      <c r="Y6" s="167"/>
      <c r="Z6" s="167"/>
      <c r="AA6" s="51">
        <f>SUM(AA7:AA7)</f>
        <v>62640</v>
      </c>
      <c r="AB6" s="167" t="str">
        <f>V6</f>
        <v>SAW-01</v>
      </c>
      <c r="AC6" s="167"/>
      <c r="AD6" s="167"/>
      <c r="AE6" s="167"/>
      <c r="AF6" s="167"/>
      <c r="AG6" s="51">
        <f>SUM(AG7:AG7)</f>
        <v>101520</v>
      </c>
    </row>
    <row r="7" spans="1:33" x14ac:dyDescent="0.35">
      <c r="A7" s="134">
        <f>SUM(B7:B7)</f>
        <v>1</v>
      </c>
      <c r="B7" s="38">
        <f>'Wegingsfactoren Gunning'!E6</f>
        <v>1</v>
      </c>
      <c r="C7" s="42" t="str">
        <f>'Wegingsfactoren Gunning'!D6</f>
        <v>SAW-01</v>
      </c>
      <c r="D7" s="35">
        <v>10</v>
      </c>
      <c r="E7" s="33">
        <v>10</v>
      </c>
      <c r="F7" s="33">
        <v>10</v>
      </c>
      <c r="G7" s="33">
        <v>10</v>
      </c>
      <c r="H7" s="34">
        <v>10</v>
      </c>
      <c r="I7" s="45">
        <f>($C$6*$B$7)/10*SUM(D7:H7)/COUNT(D7:H7)</f>
        <v>108000</v>
      </c>
      <c r="J7" s="35">
        <v>10</v>
      </c>
      <c r="K7" s="33">
        <v>10</v>
      </c>
      <c r="L7" s="33">
        <v>10</v>
      </c>
      <c r="M7" s="33">
        <v>10</v>
      </c>
      <c r="N7" s="34">
        <v>10</v>
      </c>
      <c r="O7" s="45">
        <f>($C$6*$B$7)/10*SUM(J7:N7)/COUNT(J7:N7)</f>
        <v>108000</v>
      </c>
      <c r="P7" s="39">
        <v>4</v>
      </c>
      <c r="Q7" s="40">
        <v>4</v>
      </c>
      <c r="R7" s="40">
        <v>4</v>
      </c>
      <c r="S7" s="40">
        <v>1</v>
      </c>
      <c r="T7" s="41">
        <v>4</v>
      </c>
      <c r="U7" s="45">
        <f>($C$6*$B$7)/10*SUM(P7:T7)/COUNT(P7:T7)</f>
        <v>36720</v>
      </c>
      <c r="V7" s="39">
        <v>7</v>
      </c>
      <c r="W7" s="40">
        <v>7</v>
      </c>
      <c r="X7" s="40">
        <v>4</v>
      </c>
      <c r="Y7" s="40">
        <v>7</v>
      </c>
      <c r="Z7" s="41">
        <v>4</v>
      </c>
      <c r="AA7" s="45">
        <f>($C$6*$B$7)/10*SUM(V7:Z7)/COUNT(V7:Z7)</f>
        <v>62640</v>
      </c>
      <c r="AB7" s="39">
        <v>10</v>
      </c>
      <c r="AC7" s="40">
        <v>10</v>
      </c>
      <c r="AD7" s="40">
        <v>7</v>
      </c>
      <c r="AE7" s="40">
        <v>10</v>
      </c>
      <c r="AF7" s="41">
        <v>10</v>
      </c>
      <c r="AG7" s="45">
        <f>($C$6*$B$7)/10*SUM(AB7:AF7)/COUNT(AB7:AF7)</f>
        <v>101520</v>
      </c>
    </row>
    <row r="8" spans="1:33" x14ac:dyDescent="0.35">
      <c r="B8" s="31">
        <f>'Wegingsfactoren Gunning'!F7</f>
        <v>0.4</v>
      </c>
      <c r="C8" s="32">
        <f>$C$5*B8</f>
        <v>72000</v>
      </c>
      <c r="D8" s="167" t="str">
        <f>'Wegingsfactoren Gunning'!D7</f>
        <v>SAW-02</v>
      </c>
      <c r="E8" s="167"/>
      <c r="F8" s="167"/>
      <c r="G8" s="167"/>
      <c r="H8" s="167"/>
      <c r="I8" s="51">
        <f>SUM(I9:I9)</f>
        <v>72000</v>
      </c>
      <c r="J8" s="167" t="str">
        <f>D8</f>
        <v>SAW-02</v>
      </c>
      <c r="K8" s="167"/>
      <c r="L8" s="167"/>
      <c r="M8" s="167"/>
      <c r="N8" s="167"/>
      <c r="O8" s="51">
        <f>SUM(O9:O9)</f>
        <v>72000</v>
      </c>
      <c r="P8" s="167" t="str">
        <f>D8</f>
        <v>SAW-02</v>
      </c>
      <c r="Q8" s="167"/>
      <c r="R8" s="167"/>
      <c r="S8" s="167"/>
      <c r="T8" s="167"/>
      <c r="U8" s="51">
        <f>SUM(U9:U9)</f>
        <v>41760</v>
      </c>
      <c r="V8" s="167" t="str">
        <f>J8</f>
        <v>SAW-02</v>
      </c>
      <c r="W8" s="167"/>
      <c r="X8" s="167"/>
      <c r="Y8" s="167"/>
      <c r="Z8" s="167"/>
      <c r="AA8" s="51">
        <f>SUM(AA9:AA9)</f>
        <v>37440</v>
      </c>
      <c r="AB8" s="167" t="str">
        <f>P8</f>
        <v>SAW-02</v>
      </c>
      <c r="AC8" s="167"/>
      <c r="AD8" s="167"/>
      <c r="AE8" s="167"/>
      <c r="AF8" s="167"/>
      <c r="AG8" s="51">
        <f>SUM(AG9:AG9)</f>
        <v>72000</v>
      </c>
    </row>
    <row r="9" spans="1:33" ht="15" thickBot="1" x14ac:dyDescent="0.4">
      <c r="A9" s="134">
        <f>SUM(B9:B9)</f>
        <v>1</v>
      </c>
      <c r="B9" s="38">
        <f>'Wegingsfactoren Gunning'!E7</f>
        <v>1</v>
      </c>
      <c r="C9" s="42" t="str">
        <f>'Wegingsfactoren Gunning'!D7</f>
        <v>SAW-02</v>
      </c>
      <c r="D9" s="35">
        <v>10</v>
      </c>
      <c r="E9" s="33">
        <v>10</v>
      </c>
      <c r="F9" s="33">
        <v>10</v>
      </c>
      <c r="G9" s="33">
        <v>10</v>
      </c>
      <c r="H9" s="34">
        <v>10</v>
      </c>
      <c r="I9" s="45">
        <f>($C$8*$B$9)/10*SUM(D9:H9)/COUNT(D9:H9)</f>
        <v>72000</v>
      </c>
      <c r="J9" s="35">
        <v>10</v>
      </c>
      <c r="K9" s="33">
        <v>10</v>
      </c>
      <c r="L9" s="33">
        <v>10</v>
      </c>
      <c r="M9" s="33">
        <v>10</v>
      </c>
      <c r="N9" s="34">
        <v>10</v>
      </c>
      <c r="O9" s="45">
        <f>($C$8*$B$9)/10*SUM(J9:N9)/COUNT(J9:N9)</f>
        <v>72000</v>
      </c>
      <c r="P9" s="39">
        <v>7</v>
      </c>
      <c r="Q9" s="40">
        <v>4</v>
      </c>
      <c r="R9" s="40">
        <v>4</v>
      </c>
      <c r="S9" s="40">
        <v>7</v>
      </c>
      <c r="T9" s="41">
        <v>7</v>
      </c>
      <c r="U9" s="45">
        <f>($C$8*$B$9)/10*SUM(P9:T9)/COUNT(P9:T9)</f>
        <v>41760</v>
      </c>
      <c r="V9" s="39">
        <v>7</v>
      </c>
      <c r="W9" s="40">
        <v>4</v>
      </c>
      <c r="X9" s="40">
        <v>4</v>
      </c>
      <c r="Y9" s="40">
        <v>4</v>
      </c>
      <c r="Z9" s="41">
        <v>7</v>
      </c>
      <c r="AA9" s="45">
        <f>($C$8*$B$9)/10*SUM(V9:Z9)/COUNT(V9:Z9)</f>
        <v>37440</v>
      </c>
      <c r="AB9" s="35">
        <v>10</v>
      </c>
      <c r="AC9" s="33">
        <v>10</v>
      </c>
      <c r="AD9" s="33">
        <v>10</v>
      </c>
      <c r="AE9" s="33">
        <v>10</v>
      </c>
      <c r="AF9" s="34">
        <v>10</v>
      </c>
      <c r="AG9" s="45">
        <f>($C$8*$B$9)/10*SUM(AB9:AF9)/COUNT(AB9:AF9)</f>
        <v>72000</v>
      </c>
    </row>
    <row r="10" spans="1:33" ht="15" thickBot="1" x14ac:dyDescent="0.4">
      <c r="B10" s="31">
        <f>B6+B8</f>
        <v>1</v>
      </c>
      <c r="C10" s="47">
        <f>C6+C8</f>
        <v>180000</v>
      </c>
      <c r="D10" s="169" t="s">
        <v>22</v>
      </c>
      <c r="E10" s="169"/>
      <c r="F10" s="169"/>
      <c r="G10" s="169"/>
      <c r="H10" s="169"/>
      <c r="I10" s="37">
        <f>I7+I9</f>
        <v>180000</v>
      </c>
      <c r="J10" s="169" t="s">
        <v>22</v>
      </c>
      <c r="K10" s="169"/>
      <c r="L10" s="169"/>
      <c r="M10" s="169"/>
      <c r="N10" s="169"/>
      <c r="O10" s="37">
        <f>O7+O9</f>
        <v>180000</v>
      </c>
      <c r="P10" s="169" t="s">
        <v>22</v>
      </c>
      <c r="Q10" s="169"/>
      <c r="R10" s="169"/>
      <c r="S10" s="169"/>
      <c r="T10" s="169"/>
      <c r="U10" s="37">
        <f>U7+U9</f>
        <v>78480</v>
      </c>
      <c r="V10" s="169" t="s">
        <v>22</v>
      </c>
      <c r="W10" s="169"/>
      <c r="X10" s="169"/>
      <c r="Y10" s="169"/>
      <c r="Z10" s="169"/>
      <c r="AA10" s="37">
        <f>AA7+AA9</f>
        <v>100080</v>
      </c>
      <c r="AB10" s="169" t="s">
        <v>22</v>
      </c>
      <c r="AC10" s="169"/>
      <c r="AD10" s="169"/>
      <c r="AE10" s="169"/>
      <c r="AF10" s="169"/>
      <c r="AG10" s="37">
        <f>AG7+AG9</f>
        <v>173520</v>
      </c>
    </row>
    <row r="11" spans="1:33" x14ac:dyDescent="0.35">
      <c r="B11" s="31"/>
      <c r="C11" s="47"/>
      <c r="D11" s="135"/>
      <c r="E11" s="135"/>
      <c r="F11" s="135"/>
      <c r="G11" s="135"/>
      <c r="H11" s="135"/>
      <c r="I11" s="48"/>
      <c r="J11" s="135"/>
      <c r="K11" s="135"/>
      <c r="L11" s="135"/>
      <c r="M11" s="135"/>
      <c r="N11" s="135"/>
      <c r="O11" s="48"/>
      <c r="P11" s="135"/>
      <c r="Q11" s="135"/>
      <c r="R11" s="135"/>
      <c r="S11" s="135"/>
      <c r="T11" s="135"/>
      <c r="U11" s="48"/>
      <c r="V11" s="135"/>
      <c r="W11" s="135"/>
      <c r="X11" s="135"/>
      <c r="Y11" s="135"/>
      <c r="Z11" s="135"/>
      <c r="AA11" s="48"/>
      <c r="AB11" s="135"/>
      <c r="AC11" s="135"/>
      <c r="AD11" s="135"/>
      <c r="AE11" s="135"/>
      <c r="AF11" s="135"/>
      <c r="AG11" s="48"/>
    </row>
    <row r="12" spans="1:33" x14ac:dyDescent="0.35">
      <c r="A12" s="29">
        <f>'Wegingsfactoren Gunning'!G9</f>
        <v>0.3</v>
      </c>
      <c r="B12" s="30" t="s">
        <v>69</v>
      </c>
      <c r="C12" s="47">
        <f>$C$3*A12</f>
        <v>360000</v>
      </c>
      <c r="D12" s="168" t="s">
        <v>17</v>
      </c>
      <c r="E12" s="168"/>
      <c r="F12" s="168"/>
      <c r="G12" s="168"/>
      <c r="H12" s="168"/>
      <c r="I12" s="22"/>
      <c r="J12" s="168" t="s">
        <v>18</v>
      </c>
      <c r="K12" s="168"/>
      <c r="L12" s="168"/>
      <c r="M12" s="168"/>
      <c r="N12" s="168"/>
      <c r="O12" s="22"/>
      <c r="P12" s="168" t="s">
        <v>19</v>
      </c>
      <c r="Q12" s="168"/>
      <c r="R12" s="168"/>
      <c r="S12" s="168"/>
      <c r="T12" s="168"/>
      <c r="U12" s="22"/>
      <c r="V12" s="168" t="s">
        <v>20</v>
      </c>
      <c r="W12" s="168"/>
      <c r="X12" s="168"/>
      <c r="Y12" s="168"/>
      <c r="Z12" s="168"/>
      <c r="AA12" s="22"/>
      <c r="AB12" s="168" t="s">
        <v>21</v>
      </c>
      <c r="AC12" s="168"/>
      <c r="AD12" s="168"/>
      <c r="AE12" s="168"/>
      <c r="AF12" s="168"/>
      <c r="AG12" s="22"/>
    </row>
    <row r="13" spans="1:33" x14ac:dyDescent="0.35">
      <c r="B13" s="31">
        <f>'Wegingsfactoren Gunning'!F10</f>
        <v>0.6</v>
      </c>
      <c r="C13" s="32">
        <f>$C$12*B13</f>
        <v>216000</v>
      </c>
      <c r="D13" s="167" t="str">
        <f>'Wegingsfactoren Gunning'!D10</f>
        <v>SSW-01</v>
      </c>
      <c r="E13" s="167"/>
      <c r="F13" s="167"/>
      <c r="G13" s="167"/>
      <c r="H13" s="167"/>
      <c r="I13" s="51">
        <f>SUM(I14:I14)</f>
        <v>216000</v>
      </c>
      <c r="J13" s="167" t="str">
        <f>D13</f>
        <v>SSW-01</v>
      </c>
      <c r="K13" s="167"/>
      <c r="L13" s="167"/>
      <c r="M13" s="167"/>
      <c r="N13" s="167"/>
      <c r="O13" s="51">
        <f>SUM(O14:O14)</f>
        <v>216000</v>
      </c>
      <c r="P13" s="167" t="str">
        <f>D13</f>
        <v>SSW-01</v>
      </c>
      <c r="Q13" s="167"/>
      <c r="R13" s="167"/>
      <c r="S13" s="167"/>
      <c r="T13" s="167"/>
      <c r="U13" s="51">
        <f>SUM(U14:U14)</f>
        <v>73440</v>
      </c>
      <c r="V13" s="167" t="str">
        <f>D13</f>
        <v>SSW-01</v>
      </c>
      <c r="W13" s="167"/>
      <c r="X13" s="167"/>
      <c r="Y13" s="167"/>
      <c r="Z13" s="167"/>
      <c r="AA13" s="51">
        <f>SUM(AA14:AA14)</f>
        <v>125280</v>
      </c>
      <c r="AB13" s="167" t="str">
        <f>D13</f>
        <v>SSW-01</v>
      </c>
      <c r="AC13" s="167"/>
      <c r="AD13" s="167"/>
      <c r="AE13" s="167"/>
      <c r="AF13" s="167"/>
      <c r="AG13" s="51">
        <f>SUM(AG14:AG14)</f>
        <v>203040</v>
      </c>
    </row>
    <row r="14" spans="1:33" x14ac:dyDescent="0.35">
      <c r="A14" s="136">
        <f>SUM(B14:B14)</f>
        <v>1</v>
      </c>
      <c r="B14" s="38">
        <f>'Wegingsfactoren Gunning'!E10</f>
        <v>1</v>
      </c>
      <c r="C14" s="42" t="str">
        <f>'Wegingsfactoren Gunning'!D10</f>
        <v>SSW-01</v>
      </c>
      <c r="D14" s="35">
        <v>10</v>
      </c>
      <c r="E14" s="33">
        <v>10</v>
      </c>
      <c r="F14" s="33">
        <v>10</v>
      </c>
      <c r="G14" s="33">
        <v>10</v>
      </c>
      <c r="H14" s="34">
        <v>10</v>
      </c>
      <c r="I14" s="45">
        <f>($C$13*$B14)/10*SUM(D14:H14)/COUNT(D14:H14)</f>
        <v>216000</v>
      </c>
      <c r="J14" s="35">
        <v>10</v>
      </c>
      <c r="K14" s="33">
        <v>10</v>
      </c>
      <c r="L14" s="33">
        <v>10</v>
      </c>
      <c r="M14" s="33">
        <v>10</v>
      </c>
      <c r="N14" s="34">
        <v>10</v>
      </c>
      <c r="O14" s="45">
        <f>($C$13*$B14)/10*SUM(J14:N14)/COUNT(J14:N14)</f>
        <v>216000</v>
      </c>
      <c r="P14" s="39">
        <v>4</v>
      </c>
      <c r="Q14" s="40">
        <v>4</v>
      </c>
      <c r="R14" s="40">
        <v>4</v>
      </c>
      <c r="S14" s="40">
        <v>1</v>
      </c>
      <c r="T14" s="41">
        <v>4</v>
      </c>
      <c r="U14" s="45">
        <f>($C$13*$B14)/10*SUM(P14:T14)/COUNT(P14:T14)</f>
        <v>73440</v>
      </c>
      <c r="V14" s="39">
        <v>7</v>
      </c>
      <c r="W14" s="40">
        <v>7</v>
      </c>
      <c r="X14" s="40">
        <v>4</v>
      </c>
      <c r="Y14" s="40">
        <v>7</v>
      </c>
      <c r="Z14" s="41">
        <v>4</v>
      </c>
      <c r="AA14" s="45">
        <f>($C$13*$B14)/10*SUM(V14:Z14)/COUNT(V14:Z14)</f>
        <v>125280</v>
      </c>
      <c r="AB14" s="39">
        <v>10</v>
      </c>
      <c r="AC14" s="40">
        <v>10</v>
      </c>
      <c r="AD14" s="40">
        <v>7</v>
      </c>
      <c r="AE14" s="40">
        <v>10</v>
      </c>
      <c r="AF14" s="41">
        <v>10</v>
      </c>
      <c r="AG14" s="45">
        <f>($C$13*$B14)/10*SUM(AB14:AF14)/COUNT(AB14:AF14)</f>
        <v>203040</v>
      </c>
    </row>
    <row r="15" spans="1:33" x14ac:dyDescent="0.35">
      <c r="B15" s="31">
        <f>'Wegingsfactoren Gunning'!F11</f>
        <v>0.4</v>
      </c>
      <c r="C15" s="32">
        <f>$C$12*B15</f>
        <v>144000</v>
      </c>
      <c r="D15" s="167" t="str">
        <f>'Wegingsfactoren Gunning'!D11</f>
        <v>SSW-02</v>
      </c>
      <c r="E15" s="167"/>
      <c r="F15" s="167"/>
      <c r="G15" s="167"/>
      <c r="H15" s="167"/>
      <c r="I15" s="51">
        <f>SUM(I16:I16)</f>
        <v>144000</v>
      </c>
      <c r="J15" s="167" t="str">
        <f>D15</f>
        <v>SSW-02</v>
      </c>
      <c r="K15" s="167"/>
      <c r="L15" s="167"/>
      <c r="M15" s="167"/>
      <c r="N15" s="167"/>
      <c r="O15" s="51">
        <f>SUM(O16:O16)</f>
        <v>144000</v>
      </c>
      <c r="P15" s="167" t="str">
        <f>D15</f>
        <v>SSW-02</v>
      </c>
      <c r="Q15" s="167"/>
      <c r="R15" s="167"/>
      <c r="S15" s="167"/>
      <c r="T15" s="167"/>
      <c r="U15" s="51">
        <f>SUM(U16:U16)</f>
        <v>48960</v>
      </c>
      <c r="V15" s="167" t="str">
        <f>D15</f>
        <v>SSW-02</v>
      </c>
      <c r="W15" s="167"/>
      <c r="X15" s="167"/>
      <c r="Y15" s="167"/>
      <c r="Z15" s="167"/>
      <c r="AA15" s="51">
        <f>SUM(AA16:AA16)</f>
        <v>83520</v>
      </c>
      <c r="AB15" s="167" t="str">
        <f>D15</f>
        <v>SSW-02</v>
      </c>
      <c r="AC15" s="167"/>
      <c r="AD15" s="167"/>
      <c r="AE15" s="167"/>
      <c r="AF15" s="167"/>
      <c r="AG15" s="51">
        <f>SUM(AG16:AG16)</f>
        <v>135360</v>
      </c>
    </row>
    <row r="16" spans="1:33" ht="15" thickBot="1" x14ac:dyDescent="0.4">
      <c r="A16" s="134">
        <f>SUM(B16:B16)</f>
        <v>1</v>
      </c>
      <c r="B16" s="38">
        <f>'Wegingsfactoren Gunning'!E11</f>
        <v>1</v>
      </c>
      <c r="C16" s="42" t="str">
        <f>'Wegingsfactoren Gunning'!D11</f>
        <v>SSW-02</v>
      </c>
      <c r="D16" s="35">
        <v>10</v>
      </c>
      <c r="E16" s="33">
        <v>10</v>
      </c>
      <c r="F16" s="33">
        <v>10</v>
      </c>
      <c r="G16" s="33">
        <v>10</v>
      </c>
      <c r="H16" s="34">
        <v>10</v>
      </c>
      <c r="I16" s="45">
        <f>($C$15*$B16)/10*SUM(D16:H16)/COUNT(D16:H16)</f>
        <v>144000</v>
      </c>
      <c r="J16" s="35">
        <v>10</v>
      </c>
      <c r="K16" s="33">
        <v>10</v>
      </c>
      <c r="L16" s="33">
        <v>10</v>
      </c>
      <c r="M16" s="33">
        <v>10</v>
      </c>
      <c r="N16" s="34">
        <v>10</v>
      </c>
      <c r="O16" s="45">
        <f>($C$15*$B16)/10*SUM(J16:N16)/COUNT(J16:N16)</f>
        <v>144000</v>
      </c>
      <c r="P16" s="39">
        <v>4</v>
      </c>
      <c r="Q16" s="40">
        <v>4</v>
      </c>
      <c r="R16" s="40">
        <v>4</v>
      </c>
      <c r="S16" s="40">
        <v>1</v>
      </c>
      <c r="T16" s="41">
        <v>4</v>
      </c>
      <c r="U16" s="45">
        <f>($C$15*$B16)/10*SUM(P16:T16)/COUNT(P16:T16)</f>
        <v>48960</v>
      </c>
      <c r="V16" s="39">
        <v>7</v>
      </c>
      <c r="W16" s="40">
        <v>7</v>
      </c>
      <c r="X16" s="40">
        <v>4</v>
      </c>
      <c r="Y16" s="40">
        <v>7</v>
      </c>
      <c r="Z16" s="41">
        <v>4</v>
      </c>
      <c r="AA16" s="45">
        <f>($C$15*$B16)/10*SUM(V16:Z16)/COUNT(V16:Z16)</f>
        <v>83520</v>
      </c>
      <c r="AB16" s="39">
        <v>10</v>
      </c>
      <c r="AC16" s="40">
        <v>10</v>
      </c>
      <c r="AD16" s="40">
        <v>7</v>
      </c>
      <c r="AE16" s="40">
        <v>10</v>
      </c>
      <c r="AF16" s="41">
        <v>10</v>
      </c>
      <c r="AG16" s="45">
        <f>($C$15*$B16)/10*SUM(AB16:AF16)/COUNT(AB16:AF16)</f>
        <v>135360</v>
      </c>
    </row>
    <row r="17" spans="1:33" ht="15" thickBot="1" x14ac:dyDescent="0.4">
      <c r="B17" s="31">
        <f>B15+B13</f>
        <v>1</v>
      </c>
      <c r="C17" s="47">
        <f>C15+C13</f>
        <v>360000</v>
      </c>
      <c r="D17" s="169" t="s">
        <v>22</v>
      </c>
      <c r="E17" s="169"/>
      <c r="F17" s="169"/>
      <c r="G17" s="169"/>
      <c r="H17" s="169"/>
      <c r="I17" s="37">
        <f>I16+I14</f>
        <v>360000</v>
      </c>
      <c r="J17" s="169" t="s">
        <v>22</v>
      </c>
      <c r="K17" s="169"/>
      <c r="L17" s="169"/>
      <c r="M17" s="169"/>
      <c r="N17" s="169"/>
      <c r="O17" s="37">
        <f>O16+O14</f>
        <v>360000</v>
      </c>
      <c r="P17" s="169" t="s">
        <v>22</v>
      </c>
      <c r="Q17" s="169"/>
      <c r="R17" s="169"/>
      <c r="S17" s="169"/>
      <c r="T17" s="169"/>
      <c r="U17" s="37">
        <f>U16+U14</f>
        <v>122400</v>
      </c>
      <c r="V17" s="169" t="s">
        <v>22</v>
      </c>
      <c r="W17" s="169"/>
      <c r="X17" s="169"/>
      <c r="Y17" s="169"/>
      <c r="Z17" s="169"/>
      <c r="AA17" s="37">
        <f>AA16+AA14</f>
        <v>208800</v>
      </c>
      <c r="AB17" s="169" t="s">
        <v>22</v>
      </c>
      <c r="AC17" s="169"/>
      <c r="AD17" s="169"/>
      <c r="AE17" s="169"/>
      <c r="AF17" s="169"/>
      <c r="AG17" s="37">
        <f>AG16+AG14</f>
        <v>338400</v>
      </c>
    </row>
    <row r="18" spans="1:33" x14ac:dyDescent="0.35">
      <c r="B18" s="31"/>
      <c r="C18" s="47"/>
      <c r="D18" s="135"/>
      <c r="E18" s="135"/>
      <c r="F18" s="135"/>
      <c r="G18" s="135"/>
      <c r="H18" s="135"/>
      <c r="I18" s="48"/>
      <c r="J18" s="135"/>
      <c r="K18" s="135"/>
      <c r="L18" s="135"/>
      <c r="M18" s="135"/>
      <c r="N18" s="135"/>
      <c r="O18" s="48"/>
      <c r="P18" s="135"/>
      <c r="Q18" s="135"/>
      <c r="R18" s="135"/>
      <c r="S18" s="135"/>
      <c r="T18" s="135"/>
      <c r="U18" s="48"/>
      <c r="V18" s="135"/>
      <c r="W18" s="135"/>
      <c r="X18" s="135"/>
      <c r="Y18" s="135"/>
      <c r="Z18" s="135"/>
      <c r="AA18" s="48"/>
      <c r="AB18" s="135"/>
      <c r="AC18" s="135"/>
      <c r="AD18" s="135"/>
      <c r="AE18" s="135"/>
      <c r="AF18" s="135"/>
      <c r="AG18" s="48"/>
    </row>
    <row r="19" spans="1:33" x14ac:dyDescent="0.35">
      <c r="A19" s="29">
        <f>'Wegingsfactoren Gunning'!G13</f>
        <v>0.3</v>
      </c>
      <c r="B19" s="30" t="s">
        <v>24</v>
      </c>
      <c r="C19" s="47">
        <f>$C$3*A19</f>
        <v>360000</v>
      </c>
      <c r="D19" s="168" t="s">
        <v>17</v>
      </c>
      <c r="E19" s="168"/>
      <c r="F19" s="168"/>
      <c r="G19" s="168"/>
      <c r="H19" s="168"/>
      <c r="I19" s="22"/>
      <c r="J19" s="168" t="s">
        <v>18</v>
      </c>
      <c r="K19" s="168"/>
      <c r="L19" s="168"/>
      <c r="M19" s="168"/>
      <c r="N19" s="168"/>
      <c r="O19" s="22"/>
      <c r="P19" s="168" t="s">
        <v>19</v>
      </c>
      <c r="Q19" s="168"/>
      <c r="R19" s="168"/>
      <c r="S19" s="168"/>
      <c r="T19" s="168"/>
      <c r="U19" s="22"/>
      <c r="V19" s="168" t="s">
        <v>20</v>
      </c>
      <c r="W19" s="168"/>
      <c r="X19" s="168"/>
      <c r="Y19" s="168"/>
      <c r="Z19" s="168"/>
      <c r="AA19" s="22"/>
      <c r="AB19" s="168" t="s">
        <v>21</v>
      </c>
      <c r="AC19" s="168"/>
      <c r="AD19" s="168"/>
      <c r="AE19" s="168"/>
      <c r="AF19" s="168"/>
      <c r="AG19" s="22"/>
    </row>
    <row r="20" spans="1:33" x14ac:dyDescent="0.35">
      <c r="B20" s="31">
        <f>'Wegingsfactoren Gunning'!F14</f>
        <v>0.25</v>
      </c>
      <c r="C20" s="32">
        <f>$C$19*B20</f>
        <v>90000</v>
      </c>
      <c r="D20" s="167" t="str">
        <f>'Wegingsfactoren Gunning'!D14</f>
        <v>PRW-01</v>
      </c>
      <c r="E20" s="167"/>
      <c r="F20" s="167"/>
      <c r="G20" s="167"/>
      <c r="H20" s="167"/>
      <c r="I20" s="51">
        <f>SUM(I21:I21)</f>
        <v>90000</v>
      </c>
      <c r="J20" s="167" t="str">
        <f>D20</f>
        <v>PRW-01</v>
      </c>
      <c r="K20" s="167"/>
      <c r="L20" s="167"/>
      <c r="M20" s="167"/>
      <c r="N20" s="167"/>
      <c r="O20" s="51">
        <f>SUM(O21:O21)</f>
        <v>90000</v>
      </c>
      <c r="P20" s="167" t="str">
        <f>D20</f>
        <v>PRW-01</v>
      </c>
      <c r="Q20" s="167"/>
      <c r="R20" s="167"/>
      <c r="S20" s="167"/>
      <c r="T20" s="167"/>
      <c r="U20" s="51">
        <f>SUM(U21:U21)</f>
        <v>30600</v>
      </c>
      <c r="V20" s="167" t="str">
        <f>D20</f>
        <v>PRW-01</v>
      </c>
      <c r="W20" s="167"/>
      <c r="X20" s="167"/>
      <c r="Y20" s="167"/>
      <c r="Z20" s="167"/>
      <c r="AA20" s="51">
        <f>SUM(AA21:AA21)</f>
        <v>52200</v>
      </c>
      <c r="AB20" s="167" t="str">
        <f>D20</f>
        <v>PRW-01</v>
      </c>
      <c r="AC20" s="167"/>
      <c r="AD20" s="167"/>
      <c r="AE20" s="167"/>
      <c r="AF20" s="167"/>
      <c r="AG20" s="51">
        <f>SUM(AG21:AG21)</f>
        <v>84600</v>
      </c>
    </row>
    <row r="21" spans="1:33" x14ac:dyDescent="0.35">
      <c r="A21" s="134">
        <f>SUM(B21:B21)</f>
        <v>1</v>
      </c>
      <c r="B21" s="38">
        <f>'Wegingsfactoren Gunning'!E14</f>
        <v>1</v>
      </c>
      <c r="C21" s="42" t="str">
        <f>'Wegingsfactoren Gunning'!D14</f>
        <v>PRW-01</v>
      </c>
      <c r="D21" s="35">
        <v>10</v>
      </c>
      <c r="E21" s="33">
        <v>10</v>
      </c>
      <c r="F21" s="33">
        <v>10</v>
      </c>
      <c r="G21" s="33">
        <v>10</v>
      </c>
      <c r="H21" s="34">
        <v>10</v>
      </c>
      <c r="I21" s="45">
        <f>($C$20*$B21)/10*SUM(D21:H21)/COUNT(D21:H21)</f>
        <v>90000</v>
      </c>
      <c r="J21" s="35">
        <v>10</v>
      </c>
      <c r="K21" s="33">
        <v>10</v>
      </c>
      <c r="L21" s="33">
        <v>10</v>
      </c>
      <c r="M21" s="33">
        <v>10</v>
      </c>
      <c r="N21" s="34">
        <v>10</v>
      </c>
      <c r="O21" s="45">
        <f>($C$20*$B21)/10*SUM(J21:N21)/COUNT(J21:N21)</f>
        <v>90000</v>
      </c>
      <c r="P21" s="39">
        <v>4</v>
      </c>
      <c r="Q21" s="40">
        <v>4</v>
      </c>
      <c r="R21" s="40">
        <v>4</v>
      </c>
      <c r="S21" s="40">
        <v>1</v>
      </c>
      <c r="T21" s="41">
        <v>4</v>
      </c>
      <c r="U21" s="45">
        <f>($C$20*$B21)/10*SUM(P21:T21)/COUNT(P21:T21)</f>
        <v>30600</v>
      </c>
      <c r="V21" s="39">
        <v>7</v>
      </c>
      <c r="W21" s="40">
        <v>7</v>
      </c>
      <c r="X21" s="40">
        <v>4</v>
      </c>
      <c r="Y21" s="40">
        <v>7</v>
      </c>
      <c r="Z21" s="41">
        <v>4</v>
      </c>
      <c r="AA21" s="45">
        <f>($C$20*$B21)/10*SUM(V21:Z21)/COUNT(V21:Z21)</f>
        <v>52200</v>
      </c>
      <c r="AB21" s="39">
        <v>10</v>
      </c>
      <c r="AC21" s="40">
        <v>10</v>
      </c>
      <c r="AD21" s="40">
        <v>7</v>
      </c>
      <c r="AE21" s="40">
        <v>10</v>
      </c>
      <c r="AF21" s="41">
        <v>10</v>
      </c>
      <c r="AG21" s="45">
        <f>($C$20*$B21)/10*SUM(AB21:AF21)/COUNT(AB21:AF21)</f>
        <v>84600</v>
      </c>
    </row>
    <row r="22" spans="1:33" x14ac:dyDescent="0.35">
      <c r="B22" s="31">
        <f>'Wegingsfactoren Gunning'!F15</f>
        <v>0.5</v>
      </c>
      <c r="C22" s="32">
        <f>$C$19*B22</f>
        <v>180000</v>
      </c>
      <c r="D22" s="167" t="str">
        <f>'Wegingsfactoren Gunning'!D15</f>
        <v>PRW-02</v>
      </c>
      <c r="E22" s="167"/>
      <c r="F22" s="167"/>
      <c r="G22" s="167"/>
      <c r="H22" s="167"/>
      <c r="I22" s="51">
        <f>SUM(I23:I23)</f>
        <v>180000</v>
      </c>
      <c r="J22" s="167" t="str">
        <f>D22</f>
        <v>PRW-02</v>
      </c>
      <c r="K22" s="167"/>
      <c r="L22" s="167"/>
      <c r="M22" s="167"/>
      <c r="N22" s="167"/>
      <c r="O22" s="51">
        <f>SUM(O23:O23)</f>
        <v>180000</v>
      </c>
      <c r="P22" s="167" t="str">
        <f>D22</f>
        <v>PRW-02</v>
      </c>
      <c r="Q22" s="167"/>
      <c r="R22" s="167"/>
      <c r="S22" s="167"/>
      <c r="T22" s="167"/>
      <c r="U22" s="51">
        <f>SUM(U23:U23)</f>
        <v>61200</v>
      </c>
      <c r="V22" s="167" t="str">
        <f>D22</f>
        <v>PRW-02</v>
      </c>
      <c r="W22" s="167"/>
      <c r="X22" s="167"/>
      <c r="Y22" s="167"/>
      <c r="Z22" s="167"/>
      <c r="AA22" s="51">
        <f>SUM(AA23:AA23)</f>
        <v>104400</v>
      </c>
      <c r="AB22" s="167" t="str">
        <f>D22</f>
        <v>PRW-02</v>
      </c>
      <c r="AC22" s="167"/>
      <c r="AD22" s="167"/>
      <c r="AE22" s="167"/>
      <c r="AF22" s="167"/>
      <c r="AG22" s="51">
        <f>SUM(AG23:AG23)</f>
        <v>169200</v>
      </c>
    </row>
    <row r="23" spans="1:33" x14ac:dyDescent="0.35">
      <c r="A23" s="136">
        <f>SUM(B23:B23)</f>
        <v>1</v>
      </c>
      <c r="B23" s="38">
        <f>'Wegingsfactoren Gunning'!E15</f>
        <v>1</v>
      </c>
      <c r="C23" s="42" t="str">
        <f>'Wegingsfactoren Gunning'!D15</f>
        <v>PRW-02</v>
      </c>
      <c r="D23" s="35">
        <v>10</v>
      </c>
      <c r="E23" s="33">
        <v>10</v>
      </c>
      <c r="F23" s="33">
        <v>10</v>
      </c>
      <c r="G23" s="33">
        <v>10</v>
      </c>
      <c r="H23" s="34">
        <v>10</v>
      </c>
      <c r="I23" s="45">
        <f>($C$22*$B23)/10*SUM(D23:H23)/COUNT(D23:H23)</f>
        <v>180000</v>
      </c>
      <c r="J23" s="35">
        <v>10</v>
      </c>
      <c r="K23" s="33">
        <v>10</v>
      </c>
      <c r="L23" s="33">
        <v>10</v>
      </c>
      <c r="M23" s="33">
        <v>10</v>
      </c>
      <c r="N23" s="34">
        <v>10</v>
      </c>
      <c r="O23" s="45">
        <f>($C$22*$B23)/10*SUM(J23:N23)/COUNT(J23:N23)</f>
        <v>180000</v>
      </c>
      <c r="P23" s="39">
        <v>4</v>
      </c>
      <c r="Q23" s="40">
        <v>4</v>
      </c>
      <c r="R23" s="40">
        <v>4</v>
      </c>
      <c r="S23" s="40">
        <v>1</v>
      </c>
      <c r="T23" s="41">
        <v>4</v>
      </c>
      <c r="U23" s="45">
        <f>($C$22*$B23)/10*SUM(P23:T23)/COUNT(P23:T23)</f>
        <v>61200</v>
      </c>
      <c r="V23" s="39">
        <v>7</v>
      </c>
      <c r="W23" s="40">
        <v>7</v>
      </c>
      <c r="X23" s="40">
        <v>4</v>
      </c>
      <c r="Y23" s="40">
        <v>7</v>
      </c>
      <c r="Z23" s="41">
        <v>4</v>
      </c>
      <c r="AA23" s="45">
        <f>($C$22*$B23)/10*SUM(V23:Z23)/COUNT(V23:Z23)</f>
        <v>104400</v>
      </c>
      <c r="AB23" s="39">
        <v>10</v>
      </c>
      <c r="AC23" s="40">
        <v>10</v>
      </c>
      <c r="AD23" s="40">
        <v>7</v>
      </c>
      <c r="AE23" s="40">
        <v>10</v>
      </c>
      <c r="AF23" s="41">
        <v>10</v>
      </c>
      <c r="AG23" s="45">
        <f>($C$22*$B23)/10*SUM(AB23:AF23)/COUNT(AB23:AF23)</f>
        <v>169200</v>
      </c>
    </row>
    <row r="24" spans="1:33" x14ac:dyDescent="0.35">
      <c r="B24" s="31">
        <f>'Wegingsfactoren Gunning'!F16</f>
        <v>0.25</v>
      </c>
      <c r="C24" s="32">
        <f>$C$19*B24</f>
        <v>90000</v>
      </c>
      <c r="D24" s="167" t="str">
        <f>'Wegingsfactoren Gunning'!D16</f>
        <v>PRW-03</v>
      </c>
      <c r="E24" s="167"/>
      <c r="F24" s="167"/>
      <c r="G24" s="167"/>
      <c r="H24" s="167"/>
      <c r="I24" s="51">
        <f>SUM(I25:I25)</f>
        <v>90000</v>
      </c>
      <c r="J24" s="167" t="str">
        <f>D24</f>
        <v>PRW-03</v>
      </c>
      <c r="K24" s="167"/>
      <c r="L24" s="167"/>
      <c r="M24" s="167"/>
      <c r="N24" s="167"/>
      <c r="O24" s="51">
        <f>SUM(O25:O25)</f>
        <v>90000</v>
      </c>
      <c r="P24" s="167" t="str">
        <f>D24</f>
        <v>PRW-03</v>
      </c>
      <c r="Q24" s="167"/>
      <c r="R24" s="167"/>
      <c r="S24" s="167"/>
      <c r="T24" s="167"/>
      <c r="U24" s="51">
        <f>SUM(U25:U25)</f>
        <v>30600</v>
      </c>
      <c r="V24" s="167" t="str">
        <f>D24</f>
        <v>PRW-03</v>
      </c>
      <c r="W24" s="167"/>
      <c r="X24" s="167"/>
      <c r="Y24" s="167"/>
      <c r="Z24" s="167"/>
      <c r="AA24" s="51">
        <f>SUM(AA25:AA25)</f>
        <v>52200</v>
      </c>
      <c r="AB24" s="167" t="str">
        <f>D24</f>
        <v>PRW-03</v>
      </c>
      <c r="AC24" s="167"/>
      <c r="AD24" s="167"/>
      <c r="AE24" s="167"/>
      <c r="AF24" s="167"/>
      <c r="AG24" s="51">
        <f>SUM(AG25:AG25)</f>
        <v>84600</v>
      </c>
    </row>
    <row r="25" spans="1:33" ht="15" thickBot="1" x14ac:dyDescent="0.4">
      <c r="A25" s="136">
        <f>SUM(B25:B25)</f>
        <v>1</v>
      </c>
      <c r="B25" s="38">
        <f>'Wegingsfactoren Gunning'!E16</f>
        <v>1</v>
      </c>
      <c r="C25" s="42" t="str">
        <f>'Wegingsfactoren Gunning'!D16</f>
        <v>PRW-03</v>
      </c>
      <c r="D25" s="35">
        <v>10</v>
      </c>
      <c r="E25" s="33">
        <v>10</v>
      </c>
      <c r="F25" s="33">
        <v>10</v>
      </c>
      <c r="G25" s="33">
        <v>10</v>
      </c>
      <c r="H25" s="34">
        <v>10</v>
      </c>
      <c r="I25" s="45">
        <f>($C$24*$B25)/10*SUM(D25:H25)/COUNT(D25:H25)</f>
        <v>90000</v>
      </c>
      <c r="J25" s="35">
        <v>10</v>
      </c>
      <c r="K25" s="33">
        <v>10</v>
      </c>
      <c r="L25" s="33">
        <v>10</v>
      </c>
      <c r="M25" s="33">
        <v>10</v>
      </c>
      <c r="N25" s="34">
        <v>10</v>
      </c>
      <c r="O25" s="45">
        <f>($C$24*$B25)/10*SUM(J25:N25)/COUNT(J25:N25)</f>
        <v>90000</v>
      </c>
      <c r="P25" s="39">
        <v>4</v>
      </c>
      <c r="Q25" s="40">
        <v>4</v>
      </c>
      <c r="R25" s="40">
        <v>4</v>
      </c>
      <c r="S25" s="40">
        <v>1</v>
      </c>
      <c r="T25" s="41">
        <v>4</v>
      </c>
      <c r="U25" s="45">
        <f>($C$24*$B25)/10*SUM(P25:T25)/COUNT(P25:T25)</f>
        <v>30600</v>
      </c>
      <c r="V25" s="39">
        <v>7</v>
      </c>
      <c r="W25" s="40">
        <v>7</v>
      </c>
      <c r="X25" s="40">
        <v>4</v>
      </c>
      <c r="Y25" s="40">
        <v>7</v>
      </c>
      <c r="Z25" s="41">
        <v>4</v>
      </c>
      <c r="AA25" s="45">
        <f>($C$24*$B25)/10*SUM(V25:Z25)/COUNT(V25:Z25)</f>
        <v>52200</v>
      </c>
      <c r="AB25" s="39">
        <v>10</v>
      </c>
      <c r="AC25" s="40">
        <v>10</v>
      </c>
      <c r="AD25" s="40">
        <v>7</v>
      </c>
      <c r="AE25" s="40">
        <v>10</v>
      </c>
      <c r="AF25" s="41">
        <v>10</v>
      </c>
      <c r="AG25" s="45">
        <f>($C$24*$B25)/10*SUM(AB25:AF25)/COUNT(AB25:AF25)</f>
        <v>84600</v>
      </c>
    </row>
    <row r="26" spans="1:33" ht="15" thickBot="1" x14ac:dyDescent="0.4">
      <c r="B26" s="31">
        <f>B20+B22+B24</f>
        <v>1</v>
      </c>
      <c r="C26" s="47">
        <f>C20+C22+C24</f>
        <v>360000</v>
      </c>
      <c r="D26" s="169" t="s">
        <v>22</v>
      </c>
      <c r="E26" s="169"/>
      <c r="F26" s="169"/>
      <c r="G26" s="169"/>
      <c r="H26" s="169"/>
      <c r="I26" s="37">
        <f>I20+I22+I24</f>
        <v>360000</v>
      </c>
      <c r="J26" s="169" t="s">
        <v>22</v>
      </c>
      <c r="K26" s="169"/>
      <c r="L26" s="169"/>
      <c r="M26" s="169"/>
      <c r="N26" s="169"/>
      <c r="O26" s="37">
        <f>O20+O22+O24</f>
        <v>360000</v>
      </c>
      <c r="P26" s="169" t="s">
        <v>22</v>
      </c>
      <c r="Q26" s="169"/>
      <c r="R26" s="169"/>
      <c r="S26" s="169"/>
      <c r="T26" s="169"/>
      <c r="U26" s="37">
        <f>U20+U22+U24</f>
        <v>122400</v>
      </c>
      <c r="V26" s="169" t="s">
        <v>22</v>
      </c>
      <c r="W26" s="169"/>
      <c r="X26" s="169"/>
      <c r="Y26" s="169"/>
      <c r="Z26" s="169"/>
      <c r="AA26" s="37">
        <f>AA20+AA22+AA24</f>
        <v>208800</v>
      </c>
      <c r="AB26" s="169" t="s">
        <v>22</v>
      </c>
      <c r="AC26" s="169"/>
      <c r="AD26" s="169"/>
      <c r="AE26" s="169"/>
      <c r="AF26" s="169"/>
      <c r="AG26" s="37">
        <f>AG20+AG22+AG24</f>
        <v>338400</v>
      </c>
    </row>
    <row r="27" spans="1:33" x14ac:dyDescent="0.35">
      <c r="B27" s="31"/>
      <c r="C27" s="47"/>
      <c r="D27" s="135"/>
      <c r="E27" s="135"/>
      <c r="F27" s="135"/>
      <c r="G27" s="135"/>
      <c r="H27" s="135"/>
      <c r="I27" s="48"/>
      <c r="J27" s="135"/>
      <c r="K27" s="135"/>
      <c r="L27" s="135"/>
      <c r="M27" s="135"/>
      <c r="N27" s="135"/>
      <c r="O27" s="48"/>
      <c r="P27" s="135"/>
      <c r="Q27" s="135"/>
      <c r="R27" s="135"/>
      <c r="S27" s="135"/>
      <c r="T27" s="135"/>
      <c r="U27" s="48"/>
      <c r="V27" s="135"/>
      <c r="W27" s="135"/>
      <c r="X27" s="135"/>
      <c r="Y27" s="135"/>
      <c r="Z27" s="135"/>
      <c r="AA27" s="48"/>
      <c r="AB27" s="135"/>
      <c r="AC27" s="135"/>
      <c r="AD27" s="135"/>
      <c r="AE27" s="135"/>
      <c r="AF27" s="135"/>
      <c r="AG27" s="48"/>
    </row>
    <row r="28" spans="1:33" x14ac:dyDescent="0.35">
      <c r="A28" s="29">
        <f>'Wegingsfactoren Gunning'!G18</f>
        <v>0.15</v>
      </c>
      <c r="B28" s="30" t="s">
        <v>70</v>
      </c>
      <c r="C28" s="47">
        <f>$C$3*A28</f>
        <v>180000</v>
      </c>
      <c r="D28" s="168" t="s">
        <v>17</v>
      </c>
      <c r="E28" s="168"/>
      <c r="F28" s="168"/>
      <c r="G28" s="168"/>
      <c r="H28" s="168"/>
      <c r="I28" s="22"/>
      <c r="J28" s="168" t="s">
        <v>18</v>
      </c>
      <c r="K28" s="168"/>
      <c r="L28" s="168"/>
      <c r="M28" s="168"/>
      <c r="N28" s="168"/>
      <c r="O28" s="22"/>
      <c r="P28" s="168" t="s">
        <v>19</v>
      </c>
      <c r="Q28" s="168"/>
      <c r="R28" s="168"/>
      <c r="S28" s="168"/>
      <c r="T28" s="168"/>
      <c r="U28" s="22"/>
      <c r="V28" s="168" t="s">
        <v>20</v>
      </c>
      <c r="W28" s="168"/>
      <c r="X28" s="168"/>
      <c r="Y28" s="168"/>
      <c r="Z28" s="168"/>
      <c r="AA28" s="22"/>
      <c r="AB28" s="168" t="s">
        <v>21</v>
      </c>
      <c r="AC28" s="168"/>
      <c r="AD28" s="168"/>
      <c r="AE28" s="168"/>
      <c r="AF28" s="168"/>
      <c r="AG28" s="22"/>
    </row>
    <row r="29" spans="1:33" x14ac:dyDescent="0.35">
      <c r="B29" s="31">
        <f>'Wegingsfactoren Gunning'!F19</f>
        <v>0.3</v>
      </c>
      <c r="C29" s="32">
        <f>$C$28*B29</f>
        <v>54000</v>
      </c>
      <c r="D29" s="167" t="str">
        <f>'Wegingsfactoren Gunning'!D19</f>
        <v>KOW-01</v>
      </c>
      <c r="E29" s="167"/>
      <c r="F29" s="167"/>
      <c r="G29" s="167"/>
      <c r="H29" s="167"/>
      <c r="I29" s="51">
        <f>SUM(I30:I30)</f>
        <v>54000</v>
      </c>
      <c r="J29" s="167" t="str">
        <f>D29</f>
        <v>KOW-01</v>
      </c>
      <c r="K29" s="167"/>
      <c r="L29" s="167"/>
      <c r="M29" s="167"/>
      <c r="N29" s="167"/>
      <c r="O29" s="51">
        <f>SUM(O30:O30)</f>
        <v>34560</v>
      </c>
      <c r="P29" s="167" t="str">
        <f>D29</f>
        <v>KOW-01</v>
      </c>
      <c r="Q29" s="167"/>
      <c r="R29" s="167"/>
      <c r="S29" s="167"/>
      <c r="T29" s="167"/>
      <c r="U29" s="51">
        <f>SUM(U30:U30)</f>
        <v>18360</v>
      </c>
      <c r="V29" s="167" t="str">
        <f>D29</f>
        <v>KOW-01</v>
      </c>
      <c r="W29" s="167"/>
      <c r="X29" s="167"/>
      <c r="Y29" s="167"/>
      <c r="Z29" s="167"/>
      <c r="AA29" s="51">
        <f>SUM(AA30:AA30)</f>
        <v>31320</v>
      </c>
      <c r="AB29" s="167" t="str">
        <f>D29</f>
        <v>KOW-01</v>
      </c>
      <c r="AC29" s="167"/>
      <c r="AD29" s="167"/>
      <c r="AE29" s="167"/>
      <c r="AF29" s="167"/>
      <c r="AG29" s="51">
        <f>SUM(AG30:AG30)</f>
        <v>50760</v>
      </c>
    </row>
    <row r="30" spans="1:33" ht="15" thickBot="1" x14ac:dyDescent="0.4">
      <c r="A30" s="49">
        <f>B30</f>
        <v>1</v>
      </c>
      <c r="B30" s="38">
        <f>'Wegingsfactoren Gunning'!E19</f>
        <v>1</v>
      </c>
      <c r="C30" s="42" t="str">
        <f>'Wegingsfactoren Gunning'!D19</f>
        <v>KOW-01</v>
      </c>
      <c r="D30" s="35">
        <v>10</v>
      </c>
      <c r="E30" s="33">
        <v>10</v>
      </c>
      <c r="F30" s="33">
        <v>10</v>
      </c>
      <c r="G30" s="33">
        <v>10</v>
      </c>
      <c r="H30" s="34">
        <v>10</v>
      </c>
      <c r="I30" s="45">
        <f>($C$29*$B30)/10*SUM(D30:H30)/COUNT(D30:H30)</f>
        <v>54000</v>
      </c>
      <c r="J30" s="39">
        <v>7</v>
      </c>
      <c r="K30" s="40">
        <v>7</v>
      </c>
      <c r="L30" s="40">
        <v>7</v>
      </c>
      <c r="M30" s="40">
        <v>4</v>
      </c>
      <c r="N30" s="41">
        <v>7</v>
      </c>
      <c r="O30" s="45">
        <f>($C$29*$B30)/10*SUM(J30:N30)/COUNT(J30:N30)</f>
        <v>34560</v>
      </c>
      <c r="P30" s="39">
        <v>4</v>
      </c>
      <c r="Q30" s="40">
        <v>4</v>
      </c>
      <c r="R30" s="40">
        <v>4</v>
      </c>
      <c r="S30" s="40">
        <v>1</v>
      </c>
      <c r="T30" s="41">
        <v>4</v>
      </c>
      <c r="U30" s="45">
        <f>($C$29*$B30)/10*SUM(P30:T30)/COUNT(P30:T30)</f>
        <v>18360</v>
      </c>
      <c r="V30" s="39">
        <v>7</v>
      </c>
      <c r="W30" s="40">
        <v>7</v>
      </c>
      <c r="X30" s="40">
        <v>4</v>
      </c>
      <c r="Y30" s="40">
        <v>7</v>
      </c>
      <c r="Z30" s="41">
        <v>4</v>
      </c>
      <c r="AA30" s="45">
        <f>($C$29*$B30)/10*SUM(V30:Z30)/COUNT(V30:Z30)</f>
        <v>31320</v>
      </c>
      <c r="AB30" s="39">
        <v>10</v>
      </c>
      <c r="AC30" s="40">
        <v>10</v>
      </c>
      <c r="AD30" s="40">
        <v>7</v>
      </c>
      <c r="AE30" s="40">
        <v>10</v>
      </c>
      <c r="AF30" s="41">
        <v>10</v>
      </c>
      <c r="AG30" s="45">
        <f>($C$29*$B30)/10*SUM(AB30:AF30)/COUNT(AB30:AF30)</f>
        <v>50760</v>
      </c>
    </row>
    <row r="31" spans="1:33" ht="15" thickBot="1" x14ac:dyDescent="0.4">
      <c r="A31" s="50"/>
      <c r="B31" s="31">
        <f>'Wegingsfactoren Gunning'!F20</f>
        <v>0.4</v>
      </c>
      <c r="C31" s="32">
        <f>$C$28*B31</f>
        <v>72000</v>
      </c>
      <c r="D31" s="165" t="s">
        <v>23</v>
      </c>
      <c r="E31" s="165"/>
      <c r="F31" s="165"/>
      <c r="G31" s="165"/>
      <c r="H31" s="166"/>
      <c r="I31" s="46">
        <f>SUM(I32:I32)</f>
        <v>72000</v>
      </c>
      <c r="J31" s="167" t="str">
        <f>D31</f>
        <v>GAW-02</v>
      </c>
      <c r="K31" s="167"/>
      <c r="L31" s="167"/>
      <c r="M31" s="167"/>
      <c r="N31" s="167"/>
      <c r="O31" s="46">
        <f>SUM(O32:O32)</f>
        <v>72000</v>
      </c>
      <c r="P31" s="167" t="str">
        <f>D31</f>
        <v>GAW-02</v>
      </c>
      <c r="Q31" s="167"/>
      <c r="R31" s="167"/>
      <c r="S31" s="167"/>
      <c r="T31" s="167"/>
      <c r="U31" s="46">
        <f>SUM(U32:U32)</f>
        <v>24480</v>
      </c>
      <c r="V31" s="167" t="str">
        <f>D31</f>
        <v>GAW-02</v>
      </c>
      <c r="W31" s="167"/>
      <c r="X31" s="167"/>
      <c r="Y31" s="167"/>
      <c r="Z31" s="167"/>
      <c r="AA31" s="46">
        <f>SUM(AA32:AA32)</f>
        <v>41760</v>
      </c>
      <c r="AB31" s="167" t="str">
        <f>D31</f>
        <v>GAW-02</v>
      </c>
      <c r="AC31" s="167"/>
      <c r="AD31" s="167"/>
      <c r="AE31" s="167"/>
      <c r="AF31" s="167"/>
      <c r="AG31" s="46">
        <f>SUM(AG32:AG32)</f>
        <v>67680</v>
      </c>
    </row>
    <row r="32" spans="1:33" ht="15" thickBot="1" x14ac:dyDescent="0.4">
      <c r="A32" s="134">
        <f>SUM(B32:B32)</f>
        <v>1</v>
      </c>
      <c r="B32" s="38">
        <f>'Wegingsfactoren Gunning'!E20</f>
        <v>1</v>
      </c>
      <c r="C32" s="42" t="str">
        <f>'Wegingsfactoren Gunning'!D20</f>
        <v>KOW-02</v>
      </c>
      <c r="D32" s="35">
        <v>10</v>
      </c>
      <c r="E32" s="33">
        <v>10</v>
      </c>
      <c r="F32" s="33">
        <v>10</v>
      </c>
      <c r="G32" s="33">
        <v>10</v>
      </c>
      <c r="H32" s="34">
        <v>10</v>
      </c>
      <c r="I32" s="45">
        <f>($C$31*$B32)/10*SUM(D32:H32)/COUNT(D32:H32)</f>
        <v>72000</v>
      </c>
      <c r="J32" s="35">
        <v>10</v>
      </c>
      <c r="K32" s="33">
        <v>10</v>
      </c>
      <c r="L32" s="33">
        <v>10</v>
      </c>
      <c r="M32" s="33">
        <v>10</v>
      </c>
      <c r="N32" s="34">
        <v>10</v>
      </c>
      <c r="O32" s="45">
        <f>($C$31*$B32)/10*SUM(J32:N32)/COUNT(J32:N32)</f>
        <v>72000</v>
      </c>
      <c r="P32" s="39">
        <v>4</v>
      </c>
      <c r="Q32" s="40">
        <v>4</v>
      </c>
      <c r="R32" s="40">
        <v>4</v>
      </c>
      <c r="S32" s="40">
        <v>1</v>
      </c>
      <c r="T32" s="41">
        <v>4</v>
      </c>
      <c r="U32" s="45">
        <f>($C$31*$B32)/10*SUM(P32:T32)/COUNT(P32:T32)</f>
        <v>24480</v>
      </c>
      <c r="V32" s="39">
        <v>7</v>
      </c>
      <c r="W32" s="40">
        <v>7</v>
      </c>
      <c r="X32" s="40">
        <v>4</v>
      </c>
      <c r="Y32" s="40">
        <v>7</v>
      </c>
      <c r="Z32" s="41">
        <v>4</v>
      </c>
      <c r="AA32" s="45">
        <f>($C$31*$B32)/10*SUM(V32:Z32)/COUNT(V32:Z32)</f>
        <v>41760</v>
      </c>
      <c r="AB32" s="39">
        <v>10</v>
      </c>
      <c r="AC32" s="40">
        <v>10</v>
      </c>
      <c r="AD32" s="40">
        <v>7</v>
      </c>
      <c r="AE32" s="40">
        <v>10</v>
      </c>
      <c r="AF32" s="41">
        <v>10</v>
      </c>
      <c r="AG32" s="45">
        <f>($C$31*$B32)/10*SUM(AB32:AF32)/COUNT(AB32:AF32)</f>
        <v>67680</v>
      </c>
    </row>
    <row r="33" spans="1:33" ht="15" thickBot="1" x14ac:dyDescent="0.4">
      <c r="A33" s="50"/>
      <c r="B33" s="31">
        <f>'Wegingsfactoren Gunning'!F21</f>
        <v>0.3</v>
      </c>
      <c r="C33" s="32">
        <f>$C$28*B33</f>
        <v>54000</v>
      </c>
      <c r="D33" s="165" t="str">
        <f>'Wegingsfactoren Gunning'!D21</f>
        <v>KOW-03</v>
      </c>
      <c r="E33" s="165"/>
      <c r="F33" s="165"/>
      <c r="G33" s="165"/>
      <c r="H33" s="166"/>
      <c r="I33" s="46">
        <f>SUM(I34:I34)</f>
        <v>54000</v>
      </c>
      <c r="J33" s="167" t="str">
        <f>D33</f>
        <v>KOW-03</v>
      </c>
      <c r="K33" s="167"/>
      <c r="L33" s="167"/>
      <c r="M33" s="167"/>
      <c r="N33" s="167"/>
      <c r="O33" s="46">
        <f>SUM(O34:O34)</f>
        <v>54000</v>
      </c>
      <c r="P33" s="167" t="str">
        <f>D33</f>
        <v>KOW-03</v>
      </c>
      <c r="Q33" s="167"/>
      <c r="R33" s="167"/>
      <c r="S33" s="167"/>
      <c r="T33" s="167"/>
      <c r="U33" s="46">
        <f>SUM(U34:U34)</f>
        <v>18360</v>
      </c>
      <c r="V33" s="167" t="str">
        <f>D33</f>
        <v>KOW-03</v>
      </c>
      <c r="W33" s="167"/>
      <c r="X33" s="167"/>
      <c r="Y33" s="167"/>
      <c r="Z33" s="167"/>
      <c r="AA33" s="46">
        <f>SUM(AA34:AA34)</f>
        <v>31320</v>
      </c>
      <c r="AB33" s="167" t="str">
        <f>D33</f>
        <v>KOW-03</v>
      </c>
      <c r="AC33" s="167"/>
      <c r="AD33" s="167"/>
      <c r="AE33" s="167"/>
      <c r="AF33" s="167"/>
      <c r="AG33" s="46">
        <f>SUM(AG34:AG34)</f>
        <v>50760</v>
      </c>
    </row>
    <row r="34" spans="1:33" ht="15" thickBot="1" x14ac:dyDescent="0.4">
      <c r="A34" s="134">
        <f>SUM(B34:B34)</f>
        <v>1</v>
      </c>
      <c r="B34" s="38">
        <f>'Wegingsfactoren Gunning'!E21</f>
        <v>1</v>
      </c>
      <c r="C34" s="42" t="str">
        <f>'Wegingsfactoren Gunning'!D21</f>
        <v>KOW-03</v>
      </c>
      <c r="D34" s="35">
        <v>10</v>
      </c>
      <c r="E34" s="33">
        <v>10</v>
      </c>
      <c r="F34" s="33">
        <v>10</v>
      </c>
      <c r="G34" s="33">
        <v>10</v>
      </c>
      <c r="H34" s="34">
        <v>10</v>
      </c>
      <c r="I34" s="45">
        <f>($C$33*$B34)/10*SUM(D34:H34)/COUNT(D34:H34)</f>
        <v>54000</v>
      </c>
      <c r="J34" s="35">
        <v>10</v>
      </c>
      <c r="K34" s="33">
        <v>10</v>
      </c>
      <c r="L34" s="33">
        <v>10</v>
      </c>
      <c r="M34" s="33">
        <v>10</v>
      </c>
      <c r="N34" s="34">
        <v>10</v>
      </c>
      <c r="O34" s="45">
        <f>($C$33*$B34)/10*SUM(J34:N34)/COUNT(J34:N34)</f>
        <v>54000</v>
      </c>
      <c r="P34" s="39">
        <v>4</v>
      </c>
      <c r="Q34" s="40">
        <v>4</v>
      </c>
      <c r="R34" s="40">
        <v>4</v>
      </c>
      <c r="S34" s="40">
        <v>1</v>
      </c>
      <c r="T34" s="41">
        <v>4</v>
      </c>
      <c r="U34" s="45">
        <f>($C$33*$B34)/10*SUM(P34:T34)/COUNT(P34:T34)</f>
        <v>18360</v>
      </c>
      <c r="V34" s="39">
        <v>7</v>
      </c>
      <c r="W34" s="40">
        <v>7</v>
      </c>
      <c r="X34" s="40">
        <v>4</v>
      </c>
      <c r="Y34" s="40">
        <v>7</v>
      </c>
      <c r="Z34" s="41">
        <v>4</v>
      </c>
      <c r="AA34" s="45">
        <f>($C$33*$B34)/10*SUM(V34:Z34)/COUNT(V34:Z34)</f>
        <v>31320</v>
      </c>
      <c r="AB34" s="39">
        <v>10</v>
      </c>
      <c r="AC34" s="40">
        <v>10</v>
      </c>
      <c r="AD34" s="40">
        <v>7</v>
      </c>
      <c r="AE34" s="40">
        <v>10</v>
      </c>
      <c r="AF34" s="41">
        <v>10</v>
      </c>
      <c r="AG34" s="45">
        <f>($C$33*$B34)/10*SUM(AB34:AF34)/COUNT(AB34:AF34)</f>
        <v>50760</v>
      </c>
    </row>
    <row r="35" spans="1:33" ht="15" thickBot="1" x14ac:dyDescent="0.4">
      <c r="B35" s="31">
        <f>B29+B31+B33</f>
        <v>1</v>
      </c>
      <c r="C35" s="47">
        <f>C29+C31+C33</f>
        <v>180000</v>
      </c>
      <c r="D35" s="169" t="s">
        <v>22</v>
      </c>
      <c r="E35" s="169"/>
      <c r="F35" s="169"/>
      <c r="G35" s="169"/>
      <c r="H35" s="169"/>
      <c r="I35" s="37">
        <f>I29+I31+I33</f>
        <v>180000</v>
      </c>
      <c r="J35" s="169" t="s">
        <v>22</v>
      </c>
      <c r="K35" s="169"/>
      <c r="L35" s="169"/>
      <c r="M35" s="169"/>
      <c r="N35" s="169"/>
      <c r="O35" s="37">
        <f>O29+O31+O33</f>
        <v>160560</v>
      </c>
      <c r="P35" s="169" t="s">
        <v>22</v>
      </c>
      <c r="Q35" s="169"/>
      <c r="R35" s="169"/>
      <c r="S35" s="169"/>
      <c r="T35" s="169"/>
      <c r="U35" s="37">
        <f>U29+U31+U33</f>
        <v>61200</v>
      </c>
      <c r="V35" s="169" t="s">
        <v>22</v>
      </c>
      <c r="W35" s="169"/>
      <c r="X35" s="169"/>
      <c r="Y35" s="169"/>
      <c r="Z35" s="169"/>
      <c r="AA35" s="37">
        <f>AA29+AA31+AA33</f>
        <v>104400</v>
      </c>
      <c r="AB35" s="169" t="s">
        <v>22</v>
      </c>
      <c r="AC35" s="169"/>
      <c r="AD35" s="169"/>
      <c r="AE35" s="169"/>
      <c r="AF35" s="169"/>
      <c r="AG35" s="37">
        <f>AG29+AG31+AG33</f>
        <v>169200</v>
      </c>
    </row>
    <row r="36" spans="1:33" x14ac:dyDescent="0.35">
      <c r="B36" s="31"/>
      <c r="C36" s="47"/>
      <c r="D36" s="135"/>
      <c r="E36" s="135"/>
      <c r="F36" s="135"/>
      <c r="G36" s="135"/>
      <c r="H36" s="135"/>
      <c r="I36" s="48"/>
      <c r="J36" s="135"/>
      <c r="K36" s="135"/>
      <c r="L36" s="135"/>
      <c r="M36" s="135"/>
      <c r="N36" s="135"/>
      <c r="O36" s="48"/>
      <c r="P36" s="135"/>
      <c r="Q36" s="135"/>
      <c r="R36" s="135"/>
      <c r="S36" s="135"/>
      <c r="T36" s="135"/>
      <c r="U36" s="48"/>
      <c r="V36" s="135"/>
      <c r="W36" s="135"/>
      <c r="X36" s="135"/>
      <c r="Y36" s="135"/>
      <c r="Z36" s="135"/>
      <c r="AA36" s="48"/>
      <c r="AB36" s="135"/>
      <c r="AC36" s="135"/>
      <c r="AD36" s="135"/>
      <c r="AE36" s="135"/>
      <c r="AF36" s="135"/>
      <c r="AG36" s="48"/>
    </row>
    <row r="37" spans="1:33" x14ac:dyDescent="0.35">
      <c r="A37" s="29">
        <f>'Wegingsfactoren Gunning'!G23</f>
        <v>0.1</v>
      </c>
      <c r="B37" s="30" t="s">
        <v>31</v>
      </c>
      <c r="C37" s="47">
        <f>$C$3*A37</f>
        <v>120000</v>
      </c>
      <c r="D37" s="168" t="s">
        <v>17</v>
      </c>
      <c r="E37" s="168"/>
      <c r="F37" s="168"/>
      <c r="G37" s="168"/>
      <c r="H37" s="168"/>
      <c r="I37" s="22"/>
      <c r="J37" s="168" t="s">
        <v>18</v>
      </c>
      <c r="K37" s="168"/>
      <c r="L37" s="168"/>
      <c r="M37" s="168"/>
      <c r="N37" s="168"/>
      <c r="O37" s="22"/>
      <c r="P37" s="168" t="s">
        <v>19</v>
      </c>
      <c r="Q37" s="168"/>
      <c r="R37" s="168"/>
      <c r="S37" s="168"/>
      <c r="T37" s="168"/>
      <c r="U37" s="22"/>
      <c r="V37" s="168" t="s">
        <v>20</v>
      </c>
      <c r="W37" s="168"/>
      <c r="X37" s="168"/>
      <c r="Y37" s="168"/>
      <c r="Z37" s="168"/>
      <c r="AA37" s="22"/>
      <c r="AB37" s="168" t="s">
        <v>21</v>
      </c>
      <c r="AC37" s="168"/>
      <c r="AD37" s="168"/>
      <c r="AE37" s="168"/>
      <c r="AF37" s="168"/>
      <c r="AG37" s="22"/>
    </row>
    <row r="38" spans="1:33" x14ac:dyDescent="0.35">
      <c r="B38" s="31">
        <f>'Wegingsfactoren Gunning'!F19</f>
        <v>0.3</v>
      </c>
      <c r="C38" s="32">
        <f>$C$37*B38</f>
        <v>36000</v>
      </c>
      <c r="D38" s="167" t="str">
        <f>'Wegingsfactoren Gunning'!D24</f>
        <v>MVW-01</v>
      </c>
      <c r="E38" s="167"/>
      <c r="F38" s="167"/>
      <c r="G38" s="167"/>
      <c r="H38" s="167"/>
      <c r="I38" s="51">
        <f>SUM(I39:I39)</f>
        <v>36000</v>
      </c>
      <c r="J38" s="167" t="str">
        <f>D38</f>
        <v>MVW-01</v>
      </c>
      <c r="K38" s="167"/>
      <c r="L38" s="167"/>
      <c r="M38" s="167"/>
      <c r="N38" s="167"/>
      <c r="O38" s="51">
        <f>SUM(O39:O39)</f>
        <v>36000</v>
      </c>
      <c r="P38" s="167" t="str">
        <f>D38</f>
        <v>MVW-01</v>
      </c>
      <c r="Q38" s="167"/>
      <c r="R38" s="167"/>
      <c r="S38" s="167"/>
      <c r="T38" s="167"/>
      <c r="U38" s="51">
        <f>SUM(U39:U39)</f>
        <v>12240</v>
      </c>
      <c r="V38" s="167" t="str">
        <f>D38</f>
        <v>MVW-01</v>
      </c>
      <c r="W38" s="167"/>
      <c r="X38" s="167"/>
      <c r="Y38" s="167"/>
      <c r="Z38" s="167"/>
      <c r="AA38" s="51">
        <f>SUM(AA39:AA39)</f>
        <v>20880</v>
      </c>
      <c r="AB38" s="167" t="str">
        <f>D38</f>
        <v>MVW-01</v>
      </c>
      <c r="AC38" s="167"/>
      <c r="AD38" s="167"/>
      <c r="AE38" s="167"/>
      <c r="AF38" s="167"/>
      <c r="AG38" s="51">
        <f>SUM(AG39:AG39)</f>
        <v>33840</v>
      </c>
    </row>
    <row r="39" spans="1:33" ht="15" thickBot="1" x14ac:dyDescent="0.4">
      <c r="A39" s="134">
        <f>SUM(B39:B39)</f>
        <v>1</v>
      </c>
      <c r="B39" s="38">
        <f>'Wegingsfactoren Gunning'!E19</f>
        <v>1</v>
      </c>
      <c r="C39" s="42" t="str">
        <f>'Wegingsfactoren Gunning'!D24</f>
        <v>MVW-01</v>
      </c>
      <c r="D39" s="35">
        <v>10</v>
      </c>
      <c r="E39" s="33">
        <v>10</v>
      </c>
      <c r="F39" s="33">
        <v>10</v>
      </c>
      <c r="G39" s="33">
        <v>10</v>
      </c>
      <c r="H39" s="34">
        <v>10</v>
      </c>
      <c r="I39" s="45">
        <f>($C$38*$B39)/10*SUM(D39:H39)/COUNT(D39:H39)</f>
        <v>36000</v>
      </c>
      <c r="J39" s="35">
        <v>10</v>
      </c>
      <c r="K39" s="33">
        <v>10</v>
      </c>
      <c r="L39" s="33">
        <v>10</v>
      </c>
      <c r="M39" s="33">
        <v>10</v>
      </c>
      <c r="N39" s="34">
        <v>10</v>
      </c>
      <c r="O39" s="45">
        <f>($C$38*$B39)/10*SUM(J39:N39)/COUNT(J39:N39)</f>
        <v>36000</v>
      </c>
      <c r="P39" s="39">
        <v>4</v>
      </c>
      <c r="Q39" s="40">
        <v>4</v>
      </c>
      <c r="R39" s="40">
        <v>4</v>
      </c>
      <c r="S39" s="40">
        <v>1</v>
      </c>
      <c r="T39" s="41">
        <v>4</v>
      </c>
      <c r="U39" s="45">
        <f>($C$38*$B39)/10*SUM(P39:T39)/COUNT(P39:T39)</f>
        <v>12240</v>
      </c>
      <c r="V39" s="39">
        <v>7</v>
      </c>
      <c r="W39" s="40">
        <v>7</v>
      </c>
      <c r="X39" s="40">
        <v>4</v>
      </c>
      <c r="Y39" s="40">
        <v>7</v>
      </c>
      <c r="Z39" s="41">
        <v>4</v>
      </c>
      <c r="AA39" s="45">
        <f>($C$38*$B39)/10*SUM(V39:Z39)/COUNT(V39:Z39)</f>
        <v>20880</v>
      </c>
      <c r="AB39" s="39">
        <v>10</v>
      </c>
      <c r="AC39" s="40">
        <v>10</v>
      </c>
      <c r="AD39" s="40">
        <v>7</v>
      </c>
      <c r="AE39" s="40">
        <v>10</v>
      </c>
      <c r="AF39" s="41">
        <v>10</v>
      </c>
      <c r="AG39" s="45">
        <f>($C$38*$B39)/10*SUM(AB39:AF39)/COUNT(AB39:AF39)</f>
        <v>33840</v>
      </c>
    </row>
    <row r="40" spans="1:33" ht="15" thickBot="1" x14ac:dyDescent="0.4">
      <c r="B40" s="31">
        <f>'Wegingsfactoren Gunning'!F20</f>
        <v>0.4</v>
      </c>
      <c r="C40" s="32">
        <f>$C$37*B40</f>
        <v>48000</v>
      </c>
      <c r="D40" s="167" t="str">
        <f>'Wegingsfactoren Gunning'!D25</f>
        <v>MVW-02</v>
      </c>
      <c r="E40" s="167"/>
      <c r="F40" s="167"/>
      <c r="G40" s="167"/>
      <c r="H40" s="167"/>
      <c r="I40" s="46">
        <f>SUM(I41:I41)</f>
        <v>48000</v>
      </c>
      <c r="J40" s="167" t="str">
        <f>D40</f>
        <v>MVW-02</v>
      </c>
      <c r="K40" s="167"/>
      <c r="L40" s="167"/>
      <c r="M40" s="167"/>
      <c r="N40" s="167"/>
      <c r="O40" s="46">
        <f>SUM(O41:O41)</f>
        <v>48000</v>
      </c>
      <c r="P40" s="167" t="str">
        <f>D40</f>
        <v>MVW-02</v>
      </c>
      <c r="Q40" s="167"/>
      <c r="R40" s="167"/>
      <c r="S40" s="167"/>
      <c r="T40" s="167"/>
      <c r="U40" s="46">
        <f>SUM(U41:U41)</f>
        <v>16320</v>
      </c>
      <c r="V40" s="167" t="str">
        <f>D40</f>
        <v>MVW-02</v>
      </c>
      <c r="W40" s="167"/>
      <c r="X40" s="167"/>
      <c r="Y40" s="167"/>
      <c r="Z40" s="167"/>
      <c r="AA40" s="46">
        <f>SUM(AA41:AA41)</f>
        <v>27840</v>
      </c>
      <c r="AB40" s="167" t="str">
        <f>D40</f>
        <v>MVW-02</v>
      </c>
      <c r="AC40" s="167"/>
      <c r="AD40" s="167"/>
      <c r="AE40" s="167"/>
      <c r="AF40" s="167"/>
      <c r="AG40" s="46">
        <f>SUM(AG41:AG41)</f>
        <v>45120</v>
      </c>
    </row>
    <row r="41" spans="1:33" ht="15" thickBot="1" x14ac:dyDescent="0.4">
      <c r="A41" s="36">
        <f>B41</f>
        <v>1</v>
      </c>
      <c r="B41" s="38">
        <f>'Wegingsfactoren Gunning'!E20</f>
        <v>1</v>
      </c>
      <c r="C41" s="42" t="str">
        <f>'Wegingsfactoren Gunning'!D25</f>
        <v>MVW-02</v>
      </c>
      <c r="D41" s="35">
        <v>10</v>
      </c>
      <c r="E41" s="33">
        <v>10</v>
      </c>
      <c r="F41" s="33">
        <v>10</v>
      </c>
      <c r="G41" s="33">
        <v>10</v>
      </c>
      <c r="H41" s="34">
        <v>10</v>
      </c>
      <c r="I41" s="45">
        <f>($C$40*$B41)/10*SUM(D41:H41)/COUNT(D41:H41)</f>
        <v>48000</v>
      </c>
      <c r="J41" s="35">
        <v>10</v>
      </c>
      <c r="K41" s="33">
        <v>10</v>
      </c>
      <c r="L41" s="33">
        <v>10</v>
      </c>
      <c r="M41" s="33">
        <v>10</v>
      </c>
      <c r="N41" s="34">
        <v>10</v>
      </c>
      <c r="O41" s="45">
        <f>($C$40*$B41)/10*SUM(J41:N41)/COUNT(J41:N41)</f>
        <v>48000</v>
      </c>
      <c r="P41" s="39">
        <v>4</v>
      </c>
      <c r="Q41" s="40">
        <v>4</v>
      </c>
      <c r="R41" s="40">
        <v>4</v>
      </c>
      <c r="S41" s="40">
        <v>1</v>
      </c>
      <c r="T41" s="41">
        <v>4</v>
      </c>
      <c r="U41" s="45">
        <f>($C$40*$B41)/10*SUM(P41:T41)/COUNT(P41:T41)</f>
        <v>16320</v>
      </c>
      <c r="V41" s="39">
        <v>7</v>
      </c>
      <c r="W41" s="40">
        <v>7</v>
      </c>
      <c r="X41" s="40">
        <v>4</v>
      </c>
      <c r="Y41" s="40">
        <v>7</v>
      </c>
      <c r="Z41" s="41">
        <v>4</v>
      </c>
      <c r="AA41" s="45">
        <f>($C$40*$B41)/10*SUM(V41:Z41)/COUNT(V41:Z41)</f>
        <v>27840</v>
      </c>
      <c r="AB41" s="39">
        <v>10</v>
      </c>
      <c r="AC41" s="40">
        <v>10</v>
      </c>
      <c r="AD41" s="40">
        <v>7</v>
      </c>
      <c r="AE41" s="40">
        <v>10</v>
      </c>
      <c r="AF41" s="41">
        <v>10</v>
      </c>
      <c r="AG41" s="45">
        <f>($C$40*$B41)/10*SUM(AB41:AF41)/COUNT(AB41:AF41)</f>
        <v>45120</v>
      </c>
    </row>
    <row r="42" spans="1:33" ht="15" thickBot="1" x14ac:dyDescent="0.4">
      <c r="B42" s="31">
        <f>'Wegingsfactoren Gunning'!F21</f>
        <v>0.3</v>
      </c>
      <c r="C42" s="32">
        <f>$C$37*B42</f>
        <v>36000</v>
      </c>
      <c r="D42" s="167" t="str">
        <f>'Wegingsfactoren Gunning'!D26</f>
        <v>MVW-03</v>
      </c>
      <c r="E42" s="167"/>
      <c r="F42" s="167"/>
      <c r="G42" s="167"/>
      <c r="H42" s="167"/>
      <c r="I42" s="46">
        <f>SUM(I43:I43)</f>
        <v>36000</v>
      </c>
      <c r="J42" s="167" t="str">
        <f>D42</f>
        <v>MVW-03</v>
      </c>
      <c r="K42" s="167"/>
      <c r="L42" s="167"/>
      <c r="M42" s="167"/>
      <c r="N42" s="167"/>
      <c r="O42" s="46">
        <f>SUM(O43:O43)</f>
        <v>36000</v>
      </c>
      <c r="P42" s="167" t="str">
        <f>D42</f>
        <v>MVW-03</v>
      </c>
      <c r="Q42" s="167"/>
      <c r="R42" s="167"/>
      <c r="S42" s="167"/>
      <c r="T42" s="167"/>
      <c r="U42" s="46">
        <f>SUM(U43:U43)</f>
        <v>12240</v>
      </c>
      <c r="V42" s="167" t="str">
        <f>D42</f>
        <v>MVW-03</v>
      </c>
      <c r="W42" s="167"/>
      <c r="X42" s="167"/>
      <c r="Y42" s="167"/>
      <c r="Z42" s="167"/>
      <c r="AA42" s="46">
        <f>SUM(AA43:AA43)</f>
        <v>20880</v>
      </c>
      <c r="AB42" s="167" t="str">
        <f>D42</f>
        <v>MVW-03</v>
      </c>
      <c r="AC42" s="167"/>
      <c r="AD42" s="167"/>
      <c r="AE42" s="167"/>
      <c r="AF42" s="167"/>
      <c r="AG42" s="46">
        <f>SUM(AG43:AG43)</f>
        <v>33840</v>
      </c>
    </row>
    <row r="43" spans="1:33" ht="15" thickBot="1" x14ac:dyDescent="0.4">
      <c r="A43" s="36">
        <f>B43</f>
        <v>1</v>
      </c>
      <c r="B43" s="38">
        <f>'Wegingsfactoren Gunning'!E21</f>
        <v>1</v>
      </c>
      <c r="C43" s="42" t="str">
        <f>'Wegingsfactoren Gunning'!D26</f>
        <v>MVW-03</v>
      </c>
      <c r="D43" s="35">
        <v>10</v>
      </c>
      <c r="E43" s="33">
        <v>10</v>
      </c>
      <c r="F43" s="33">
        <v>10</v>
      </c>
      <c r="G43" s="33">
        <v>10</v>
      </c>
      <c r="H43" s="34">
        <v>10</v>
      </c>
      <c r="I43" s="45">
        <f>($C$42*$B43)/10*SUM(D43:H43)/COUNT(D43:H43)</f>
        <v>36000</v>
      </c>
      <c r="J43" s="35">
        <v>10</v>
      </c>
      <c r="K43" s="33">
        <v>10</v>
      </c>
      <c r="L43" s="33">
        <v>10</v>
      </c>
      <c r="M43" s="33">
        <v>10</v>
      </c>
      <c r="N43" s="34">
        <v>10</v>
      </c>
      <c r="O43" s="45">
        <f>($C$42*$B43)/10*SUM(J43:N43)/COUNT(J43:N43)</f>
        <v>36000</v>
      </c>
      <c r="P43" s="39">
        <v>4</v>
      </c>
      <c r="Q43" s="40">
        <v>4</v>
      </c>
      <c r="R43" s="40">
        <v>4</v>
      </c>
      <c r="S43" s="40">
        <v>1</v>
      </c>
      <c r="T43" s="41">
        <v>4</v>
      </c>
      <c r="U43" s="45">
        <f>($C$42*$B43)/10*SUM(P43:T43)/COUNT(P43:T43)</f>
        <v>12240</v>
      </c>
      <c r="V43" s="39">
        <v>7</v>
      </c>
      <c r="W43" s="40">
        <v>7</v>
      </c>
      <c r="X43" s="40">
        <v>4</v>
      </c>
      <c r="Y43" s="40">
        <v>7</v>
      </c>
      <c r="Z43" s="41">
        <v>4</v>
      </c>
      <c r="AA43" s="45">
        <f>($C$42*$B43)/10*SUM(V43:Z43)/COUNT(V43:Z43)</f>
        <v>20880</v>
      </c>
      <c r="AB43" s="39">
        <v>10</v>
      </c>
      <c r="AC43" s="40">
        <v>10</v>
      </c>
      <c r="AD43" s="40">
        <v>7</v>
      </c>
      <c r="AE43" s="40">
        <v>10</v>
      </c>
      <c r="AF43" s="41">
        <v>10</v>
      </c>
      <c r="AG43" s="45">
        <f>($C$42*$B43)/10*SUM(AB43:AF43)/COUNT(AB43:AF43)</f>
        <v>33840</v>
      </c>
    </row>
    <row r="44" spans="1:33" ht="15" thickBot="1" x14ac:dyDescent="0.4">
      <c r="B44" s="31">
        <f>B38+B40+B42</f>
        <v>1</v>
      </c>
      <c r="C44" s="47">
        <f>C38+C40+C42</f>
        <v>120000</v>
      </c>
      <c r="D44" s="169" t="s">
        <v>22</v>
      </c>
      <c r="E44" s="169"/>
      <c r="F44" s="169"/>
      <c r="G44" s="169"/>
      <c r="H44" s="169"/>
      <c r="I44" s="37">
        <f>I38+I40+I42</f>
        <v>120000</v>
      </c>
      <c r="J44" s="169" t="s">
        <v>22</v>
      </c>
      <c r="K44" s="169"/>
      <c r="L44" s="169"/>
      <c r="M44" s="169"/>
      <c r="N44" s="169"/>
      <c r="O44" s="37">
        <f>O38+O40+O42</f>
        <v>120000</v>
      </c>
      <c r="P44" s="169" t="s">
        <v>22</v>
      </c>
      <c r="Q44" s="169"/>
      <c r="R44" s="169"/>
      <c r="S44" s="169"/>
      <c r="T44" s="169"/>
      <c r="U44" s="37">
        <f>U38+U40+U42</f>
        <v>40800</v>
      </c>
      <c r="V44" s="169" t="s">
        <v>22</v>
      </c>
      <c r="W44" s="169"/>
      <c r="X44" s="169"/>
      <c r="Y44" s="169"/>
      <c r="Z44" s="169"/>
      <c r="AA44" s="37">
        <f>AA38+AA40+AA42</f>
        <v>69600</v>
      </c>
      <c r="AB44" s="169" t="s">
        <v>22</v>
      </c>
      <c r="AC44" s="169"/>
      <c r="AD44" s="169"/>
      <c r="AE44" s="169"/>
      <c r="AF44" s="169"/>
      <c r="AG44" s="37">
        <f>AG38+AG40+AG42</f>
        <v>112800</v>
      </c>
    </row>
    <row r="45" spans="1:33" ht="15" thickBot="1" x14ac:dyDescent="0.4">
      <c r="B45" s="31"/>
      <c r="C45" s="47"/>
      <c r="D45" s="135"/>
      <c r="E45" s="135"/>
      <c r="F45" s="135"/>
      <c r="G45" s="135"/>
      <c r="H45" s="135"/>
      <c r="I45" s="48"/>
      <c r="J45" s="135"/>
      <c r="K45" s="135"/>
      <c r="L45" s="135"/>
      <c r="M45" s="135"/>
      <c r="N45" s="135"/>
      <c r="O45" s="48"/>
      <c r="P45" s="135"/>
      <c r="Q45" s="135"/>
      <c r="R45" s="135"/>
      <c r="S45" s="135"/>
      <c r="T45" s="135"/>
      <c r="U45" s="48"/>
      <c r="V45" s="135"/>
      <c r="W45" s="135"/>
      <c r="X45" s="135"/>
      <c r="Y45" s="135"/>
      <c r="Z45" s="135"/>
      <c r="AA45" s="48"/>
      <c r="AB45" s="135"/>
      <c r="AC45" s="135"/>
      <c r="AD45" s="135"/>
      <c r="AE45" s="135"/>
      <c r="AF45" s="135"/>
      <c r="AG45" s="48"/>
    </row>
    <row r="46" spans="1:33" ht="15" thickBot="1" x14ac:dyDescent="0.4">
      <c r="A46" s="170" t="s">
        <v>32</v>
      </c>
      <c r="B46" s="170"/>
      <c r="C46" s="170"/>
      <c r="D46" s="172" t="s">
        <v>17</v>
      </c>
      <c r="E46" s="172"/>
      <c r="F46" s="172"/>
      <c r="G46" s="172"/>
      <c r="H46" s="172"/>
      <c r="I46" s="52">
        <f>I10+I17+I26+I35+I44</f>
        <v>1200000</v>
      </c>
      <c r="J46" s="172" t="s">
        <v>18</v>
      </c>
      <c r="K46" s="172"/>
      <c r="L46" s="172"/>
      <c r="M46" s="172"/>
      <c r="N46" s="172"/>
      <c r="O46" s="52">
        <f>O10+O17+O26+O35+O44</f>
        <v>1180560</v>
      </c>
      <c r="P46" s="172" t="s">
        <v>19</v>
      </c>
      <c r="Q46" s="172"/>
      <c r="R46" s="172"/>
      <c r="S46" s="172"/>
      <c r="T46" s="172"/>
      <c r="U46" s="52">
        <f>U10+U17+U26+U35+U44</f>
        <v>425280</v>
      </c>
      <c r="V46" s="172" t="s">
        <v>20</v>
      </c>
      <c r="W46" s="172"/>
      <c r="X46" s="172"/>
      <c r="Y46" s="172"/>
      <c r="Z46" s="172"/>
      <c r="AA46" s="52">
        <f>AA10+AA17+AA26+AA35+AA44</f>
        <v>691680</v>
      </c>
      <c r="AB46" s="172" t="s">
        <v>21</v>
      </c>
      <c r="AC46" s="172"/>
      <c r="AD46" s="172"/>
      <c r="AE46" s="172"/>
      <c r="AF46" s="172"/>
      <c r="AG46" s="52">
        <f>AG10+AG17+AG26+AG35+AG44</f>
        <v>1132320</v>
      </c>
    </row>
    <row r="47" spans="1:33" ht="15.5" thickTop="1" thickBot="1" x14ac:dyDescent="0.4">
      <c r="A47" s="23" t="s">
        <v>33</v>
      </c>
      <c r="I47" s="53">
        <f>RANK(I46,$I$46:$AG$46)</f>
        <v>1</v>
      </c>
      <c r="O47" s="53">
        <f>RANK(O46,$I$46:$AG$46)</f>
        <v>2</v>
      </c>
      <c r="U47" s="53">
        <f>RANK(U46,$I$46:$AG$46)</f>
        <v>5</v>
      </c>
      <c r="AA47" s="53">
        <f>RANK(AA46,$I$46:$AG$46)</f>
        <v>4</v>
      </c>
      <c r="AG47" s="53">
        <f>RANK(AG46,$I$46:$AG$46)</f>
        <v>3</v>
      </c>
    </row>
    <row r="48" spans="1:33" ht="15" thickTop="1" x14ac:dyDescent="0.35"/>
  </sheetData>
  <mergeCells count="124">
    <mergeCell ref="J3:N3"/>
    <mergeCell ref="P3:T3"/>
    <mergeCell ref="V3:AF3"/>
    <mergeCell ref="D5:H5"/>
    <mergeCell ref="J5:N5"/>
    <mergeCell ref="P5:T5"/>
    <mergeCell ref="V5:Z5"/>
    <mergeCell ref="AB5:AF5"/>
    <mergeCell ref="AB46:AF46"/>
    <mergeCell ref="D46:H46"/>
    <mergeCell ref="J46:N46"/>
    <mergeCell ref="P46:T46"/>
    <mergeCell ref="V46:Z46"/>
    <mergeCell ref="D10:H10"/>
    <mergeCell ref="J10:N10"/>
    <mergeCell ref="P10:T10"/>
    <mergeCell ref="V10:Z10"/>
    <mergeCell ref="AB10:AF10"/>
    <mergeCell ref="AB6:AF6"/>
    <mergeCell ref="V6:Z6"/>
    <mergeCell ref="P6:T6"/>
    <mergeCell ref="J6:N6"/>
    <mergeCell ref="D6:H6"/>
    <mergeCell ref="AB8:AF8"/>
    <mergeCell ref="V8:Z8"/>
    <mergeCell ref="P8:T8"/>
    <mergeCell ref="J8:N8"/>
    <mergeCell ref="D8:H8"/>
    <mergeCell ref="A46:C46"/>
    <mergeCell ref="D12:H12"/>
    <mergeCell ref="J12:N12"/>
    <mergeCell ref="P12:T12"/>
    <mergeCell ref="V12:Z12"/>
    <mergeCell ref="D15:H15"/>
    <mergeCell ref="J15:N15"/>
    <mergeCell ref="P15:T15"/>
    <mergeCell ref="V15:Z15"/>
    <mergeCell ref="D19:H19"/>
    <mergeCell ref="J19:N19"/>
    <mergeCell ref="P19:T19"/>
    <mergeCell ref="V19:Z19"/>
    <mergeCell ref="D24:H24"/>
    <mergeCell ref="J24:N24"/>
    <mergeCell ref="P24:T24"/>
    <mergeCell ref="V24:Z24"/>
    <mergeCell ref="D35:H35"/>
    <mergeCell ref="J35:N35"/>
    <mergeCell ref="P35:T35"/>
    <mergeCell ref="V35:Z35"/>
    <mergeCell ref="AB15:AF15"/>
    <mergeCell ref="D17:H17"/>
    <mergeCell ref="J17:N17"/>
    <mergeCell ref="P17:T17"/>
    <mergeCell ref="V17:Z17"/>
    <mergeCell ref="AB17:AF17"/>
    <mergeCell ref="AB12:AF12"/>
    <mergeCell ref="D13:H13"/>
    <mergeCell ref="J13:N13"/>
    <mergeCell ref="P13:T13"/>
    <mergeCell ref="V13:Z13"/>
    <mergeCell ref="AB13:AF13"/>
    <mergeCell ref="AB19:AF19"/>
    <mergeCell ref="D20:H20"/>
    <mergeCell ref="J20:N20"/>
    <mergeCell ref="P20:T20"/>
    <mergeCell ref="V20:Z20"/>
    <mergeCell ref="AB20:AF20"/>
    <mergeCell ref="D22:H22"/>
    <mergeCell ref="J22:N22"/>
    <mergeCell ref="P22:T22"/>
    <mergeCell ref="V22:Z22"/>
    <mergeCell ref="AB22:AF22"/>
    <mergeCell ref="AB24:AF24"/>
    <mergeCell ref="D26:H26"/>
    <mergeCell ref="J26:N26"/>
    <mergeCell ref="P26:T26"/>
    <mergeCell ref="V26:Z26"/>
    <mergeCell ref="AB26:AF26"/>
    <mergeCell ref="D31:H31"/>
    <mergeCell ref="J31:N31"/>
    <mergeCell ref="P31:T31"/>
    <mergeCell ref="V31:Z31"/>
    <mergeCell ref="AB31:AF31"/>
    <mergeCell ref="D28:H28"/>
    <mergeCell ref="J28:N28"/>
    <mergeCell ref="P28:T28"/>
    <mergeCell ref="V28:Z28"/>
    <mergeCell ref="AB28:AF28"/>
    <mergeCell ref="D29:H29"/>
    <mergeCell ref="J29:N29"/>
    <mergeCell ref="P29:T29"/>
    <mergeCell ref="V29:Z29"/>
    <mergeCell ref="AB29:AF29"/>
    <mergeCell ref="V40:Z40"/>
    <mergeCell ref="AB40:AF40"/>
    <mergeCell ref="D42:H42"/>
    <mergeCell ref="J42:N42"/>
    <mergeCell ref="P42:T42"/>
    <mergeCell ref="V42:Z42"/>
    <mergeCell ref="AB42:AF42"/>
    <mergeCell ref="AB38:AF38"/>
    <mergeCell ref="D44:H44"/>
    <mergeCell ref="J44:N44"/>
    <mergeCell ref="P44:T44"/>
    <mergeCell ref="V44:Z44"/>
    <mergeCell ref="AB44:AF44"/>
    <mergeCell ref="D40:H40"/>
    <mergeCell ref="J40:N40"/>
    <mergeCell ref="P40:T40"/>
    <mergeCell ref="D33:H33"/>
    <mergeCell ref="J33:N33"/>
    <mergeCell ref="P33:T33"/>
    <mergeCell ref="V33:Z33"/>
    <mergeCell ref="AB33:AF33"/>
    <mergeCell ref="V37:Z37"/>
    <mergeCell ref="AB37:AF37"/>
    <mergeCell ref="D38:H38"/>
    <mergeCell ref="J38:N38"/>
    <mergeCell ref="P38:T38"/>
    <mergeCell ref="V38:Z38"/>
    <mergeCell ref="D37:H37"/>
    <mergeCell ref="J37:N37"/>
    <mergeCell ref="P37:T37"/>
    <mergeCell ref="AB35:AF35"/>
  </mergeCells>
  <conditionalFormatting sqref="AB5:AF5 V5:Z5 P5:T5 J5:N5 D5:H5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46 I46 U46 AA46 AG46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N4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:T4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:V4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12:AF12 V12:Z12 P12:T12 J12:N12 D12:H12"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 O6 U6 AA6 AG6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19:AF19 V19:Z19 P19:T19 J19:N19 D19:H19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28:AF28 V28:Z28 P28:T28 J28:N28 D28:H28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AG31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7:Z37 P37:T37 J37:N37 D37:H37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7 I17 U17 AA17 AG17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6 I26 U26 AA26 AG26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5 I35 U35 AA35 AG35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37:AF37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45 O36 I36 U36 AA36 AG36 AA45 U45 I45 O45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0:AG40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2:AG4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44 I44 U44 AA44 AG44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8 O8 U8 AA8 AG8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3 I13 U13 AA13 AG13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5 I15 U15 AA15 AG15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 I20 U20 AA20 AG20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2 I22 U22 AA22 AG2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4 I24 U24 AA24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9 I29 U29 AA29 AG2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8 I38 U38 AA38 AG3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3:AG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:I11 I27 AG18 AA18 U18 O18 I18 O27 U27 AA27 AG27 O10:O11 U10:U11 AA10:AA11 AG10:AG11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7"/>
  <sheetViews>
    <sheetView workbookViewId="0">
      <selection activeCell="G15" sqref="G15"/>
    </sheetView>
  </sheetViews>
  <sheetFormatPr defaultRowHeight="14.5" x14ac:dyDescent="0.35"/>
  <cols>
    <col min="3" max="3" width="15.1796875" bestFit="1" customWidth="1"/>
    <col min="4" max="4" width="15.81640625" customWidth="1"/>
    <col min="5" max="5" width="14.26953125" customWidth="1"/>
    <col min="6" max="6" width="24.453125" bestFit="1" customWidth="1"/>
    <col min="8" max="8" width="16.81640625" bestFit="1" customWidth="1"/>
  </cols>
  <sheetData>
    <row r="1" spans="1:27" x14ac:dyDescent="0.35">
      <c r="A1" s="54" t="s">
        <v>34</v>
      </c>
    </row>
    <row r="2" spans="1:27" x14ac:dyDescent="0.35">
      <c r="A2" t="s">
        <v>35</v>
      </c>
      <c r="B2" t="s">
        <v>36</v>
      </c>
    </row>
    <row r="3" spans="1:27" x14ac:dyDescent="0.35">
      <c r="A3" s="57">
        <v>0.3</v>
      </c>
      <c r="B3" s="57">
        <v>0.7</v>
      </c>
    </row>
    <row r="4" spans="1:27" ht="15" thickBot="1" x14ac:dyDescent="0.4"/>
    <row r="5" spans="1:27" x14ac:dyDescent="0.35">
      <c r="A5" s="71"/>
      <c r="B5" s="60"/>
      <c r="C5" s="61" t="s">
        <v>37</v>
      </c>
      <c r="D5" s="60" t="s">
        <v>38</v>
      </c>
      <c r="E5" s="60"/>
      <c r="F5" s="84" t="s">
        <v>39</v>
      </c>
    </row>
    <row r="6" spans="1:27" x14ac:dyDescent="0.35">
      <c r="A6" s="64" t="s">
        <v>17</v>
      </c>
      <c r="B6" s="55"/>
      <c r="C6" s="56">
        <v>1200000</v>
      </c>
      <c r="D6" s="137">
        <f>6-RANK(C6,$C$6:$C$10)</f>
        <v>3</v>
      </c>
      <c r="E6" s="138"/>
      <c r="F6" s="79">
        <f>C6*$A$3</f>
        <v>360000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x14ac:dyDescent="0.35">
      <c r="A7" s="64" t="s">
        <v>18</v>
      </c>
      <c r="B7" s="55"/>
      <c r="C7" s="56">
        <v>1100000</v>
      </c>
      <c r="D7" s="137">
        <f>6-RANK(C7,$C$6:$C$10)</f>
        <v>2</v>
      </c>
      <c r="E7" s="138"/>
      <c r="F7" s="79">
        <f>C7*$A$3</f>
        <v>330000</v>
      </c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x14ac:dyDescent="0.35">
      <c r="A8" s="64" t="s">
        <v>19</v>
      </c>
      <c r="B8" s="55"/>
      <c r="C8" s="56">
        <v>1000000</v>
      </c>
      <c r="D8" s="137">
        <f>6-RANK(C8,$C$6:$C$10)</f>
        <v>1</v>
      </c>
      <c r="E8" s="138"/>
      <c r="F8" s="79">
        <f>C8*$A$3</f>
        <v>300000</v>
      </c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x14ac:dyDescent="0.35">
      <c r="A9" s="64" t="s">
        <v>20</v>
      </c>
      <c r="B9" s="55"/>
      <c r="C9" s="56">
        <v>1500000</v>
      </c>
      <c r="D9" s="137">
        <f>6-RANK(C9,$C$6:$C$10)</f>
        <v>4</v>
      </c>
      <c r="E9" s="138"/>
      <c r="F9" s="79">
        <f>C9*$A$3</f>
        <v>450000</v>
      </c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 spans="1:27" ht="15" thickBot="1" x14ac:dyDescent="0.4">
      <c r="A10" s="67" t="s">
        <v>21</v>
      </c>
      <c r="B10" s="73"/>
      <c r="C10" s="85">
        <v>2101000</v>
      </c>
      <c r="D10" s="86">
        <f>6-RANK(C10,$C$6:$C$10)</f>
        <v>5</v>
      </c>
      <c r="E10" s="139"/>
      <c r="F10" s="80">
        <f>C10*$A$3</f>
        <v>630300</v>
      </c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 spans="1:27" x14ac:dyDescent="0.3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</row>
    <row r="12" spans="1:27" ht="15" thickBot="1" x14ac:dyDescent="0.4">
      <c r="A12" s="1"/>
      <c r="B12" s="1"/>
      <c r="D12" s="54"/>
    </row>
    <row r="13" spans="1:27" x14ac:dyDescent="0.35">
      <c r="A13" s="58"/>
      <c r="B13" s="59"/>
      <c r="C13" s="60"/>
      <c r="D13" s="60"/>
      <c r="E13" s="61"/>
      <c r="F13" s="62"/>
      <c r="J13" s="54"/>
    </row>
    <row r="14" spans="1:27" x14ac:dyDescent="0.35">
      <c r="A14" s="63" t="s">
        <v>40</v>
      </c>
      <c r="D14" t="s">
        <v>41</v>
      </c>
      <c r="E14" s="72" t="s">
        <v>42</v>
      </c>
      <c r="F14" s="78" t="s">
        <v>43</v>
      </c>
    </row>
    <row r="15" spans="1:27" x14ac:dyDescent="0.35">
      <c r="A15" s="64" t="s">
        <v>17</v>
      </c>
      <c r="B15" s="55"/>
      <c r="D15">
        <f>RANK(F15,$F$15:$F$19)</f>
        <v>1</v>
      </c>
      <c r="E15" s="66">
        <f>'Score - RANKING kwaliteit'!I46</f>
        <v>1200000</v>
      </c>
      <c r="F15" s="79">
        <f>'Score - RANKING kwaliteit'!I46*$B$3</f>
        <v>840000</v>
      </c>
    </row>
    <row r="16" spans="1:27" x14ac:dyDescent="0.35">
      <c r="A16" s="64" t="s">
        <v>18</v>
      </c>
      <c r="B16" s="55"/>
      <c r="D16">
        <f>RANK(F16,$F$15:$F$19)</f>
        <v>2</v>
      </c>
      <c r="E16" s="66">
        <f>'Score - RANKING kwaliteit'!O46</f>
        <v>1180560</v>
      </c>
      <c r="F16" s="79">
        <f>'Score - RANKING kwaliteit'!O46*$B$3</f>
        <v>826392</v>
      </c>
    </row>
    <row r="17" spans="1:6" x14ac:dyDescent="0.35">
      <c r="A17" s="64" t="s">
        <v>19</v>
      </c>
      <c r="B17" s="55"/>
      <c r="D17">
        <f>RANK(F17,$F$15:$F$19)</f>
        <v>5</v>
      </c>
      <c r="E17" s="66">
        <f>'Score - RANKING kwaliteit'!U46</f>
        <v>425280</v>
      </c>
      <c r="F17" s="79">
        <f>'Score - RANKING kwaliteit'!U46*$B$3</f>
        <v>297696</v>
      </c>
    </row>
    <row r="18" spans="1:6" x14ac:dyDescent="0.35">
      <c r="A18" s="64" t="s">
        <v>20</v>
      </c>
      <c r="B18" s="55"/>
      <c r="D18">
        <f>RANK(F18,$F$15:$F$19)</f>
        <v>4</v>
      </c>
      <c r="E18" s="66">
        <f>'Score - RANKING kwaliteit'!AA46</f>
        <v>691680</v>
      </c>
      <c r="F18" s="79">
        <f>'Score - RANKING kwaliteit'!AA46*$B$3</f>
        <v>484175.99999999994</v>
      </c>
    </row>
    <row r="19" spans="1:6" ht="15" thickBot="1" x14ac:dyDescent="0.4">
      <c r="A19" s="67" t="s">
        <v>21</v>
      </c>
      <c r="B19" s="73"/>
      <c r="C19" s="68"/>
      <c r="D19" s="68">
        <f>RANK(F19,$F$15:$F$19)</f>
        <v>3</v>
      </c>
      <c r="E19" s="69">
        <f>'Score - RANKING kwaliteit'!AG46</f>
        <v>1132320</v>
      </c>
      <c r="F19" s="80">
        <f>'Score - RANKING kwaliteit'!AG46*$B$3</f>
        <v>792624</v>
      </c>
    </row>
    <row r="20" spans="1:6" x14ac:dyDescent="0.35">
      <c r="A20" s="65"/>
    </row>
    <row r="21" spans="1:6" ht="15" thickBot="1" x14ac:dyDescent="0.4">
      <c r="A21" s="65"/>
    </row>
    <row r="22" spans="1:6" ht="21" x14ac:dyDescent="0.35">
      <c r="A22" s="74" t="s">
        <v>44</v>
      </c>
      <c r="B22" s="75"/>
      <c r="C22" s="75"/>
      <c r="D22" s="75"/>
      <c r="E22" s="60"/>
      <c r="F22" s="81" t="s">
        <v>45</v>
      </c>
    </row>
    <row r="23" spans="1:6" x14ac:dyDescent="0.35">
      <c r="A23" s="64" t="s">
        <v>17</v>
      </c>
      <c r="D23" s="76">
        <f>RANK(F23,$F$23:$F$27)</f>
        <v>2</v>
      </c>
      <c r="E23" t="str">
        <f>_xlfn.IFS(D23=1,"WINNAAR",D23&gt;1,"Helaas")</f>
        <v>Helaas</v>
      </c>
      <c r="F23" s="82">
        <f>F15-F6</f>
        <v>480000</v>
      </c>
    </row>
    <row r="24" spans="1:6" x14ac:dyDescent="0.35">
      <c r="A24" s="64" t="s">
        <v>18</v>
      </c>
      <c r="D24" s="76">
        <f>RANK(F24,$F$23:$F$27)</f>
        <v>1</v>
      </c>
      <c r="E24" t="str">
        <f>_xlfn.IFS(D24=1,"WINNAAR",D24&gt;1,"Helaas")</f>
        <v>WINNAAR</v>
      </c>
      <c r="F24" s="82">
        <f>F16-F7</f>
        <v>496392</v>
      </c>
    </row>
    <row r="25" spans="1:6" x14ac:dyDescent="0.35">
      <c r="A25" s="64" t="s">
        <v>19</v>
      </c>
      <c r="B25" s="77"/>
      <c r="D25" s="76">
        <f>RANK(F25,$F$23:$F$27)</f>
        <v>5</v>
      </c>
      <c r="E25" t="str">
        <f>_xlfn.IFS(D25=1,"WINNAAR",D25&gt;1,"Helaas")</f>
        <v>Helaas</v>
      </c>
      <c r="F25" s="82">
        <f>F17-F8</f>
        <v>-2304</v>
      </c>
    </row>
    <row r="26" spans="1:6" x14ac:dyDescent="0.35">
      <c r="A26" s="64" t="s">
        <v>20</v>
      </c>
      <c r="B26" s="77"/>
      <c r="D26" s="76">
        <f>RANK(F26,$F$23:$F$27)</f>
        <v>4</v>
      </c>
      <c r="E26" t="str">
        <f>_xlfn.IFS(D26=1,"WINNAAR",D26&gt;1,"Helaas")</f>
        <v>Helaas</v>
      </c>
      <c r="F26" s="82">
        <f>F18-F9</f>
        <v>34175.999999999942</v>
      </c>
    </row>
    <row r="27" spans="1:6" ht="15" thickBot="1" x14ac:dyDescent="0.4">
      <c r="A27" s="67" t="s">
        <v>21</v>
      </c>
      <c r="B27" s="68"/>
      <c r="C27" s="68"/>
      <c r="D27" s="70">
        <f>RANK(F27,$F$23:$F$27)</f>
        <v>3</v>
      </c>
      <c r="E27" s="68" t="str">
        <f>_xlfn.IFS(D27=1,"WINNAAR",D27&gt;1,"Helaas")</f>
        <v>Helaas</v>
      </c>
      <c r="F27" s="83">
        <f>F19-F10</f>
        <v>162324</v>
      </c>
    </row>
  </sheetData>
  <conditionalFormatting sqref="D6:D1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3:D2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5:D1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3:E27">
    <cfRule type="cellIs" dxfId="2" priority="1" operator="equal">
      <formula>"WINNAAR"</formula>
    </cfRule>
    <cfRule type="cellIs" dxfId="1" priority="2" operator="equal">
      <formula>"GEEN VERDERE DEELNAME"</formula>
    </cfRule>
    <cfRule type="cellIs" dxfId="0" priority="3" operator="equal">
      <formula>"UITNODIGING POC"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f9888a-f422-44db-b948-8a5b33b5ada5">
      <UserInfo>
        <DisplayName>Maarten Wagenmakers</DisplayName>
        <AccountId>9</AccountId>
        <AccountType/>
      </UserInfo>
      <UserInfo>
        <DisplayName>Arjen Spolet</DisplayName>
        <AccountId>30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6A29E8DAE75468FF68DCFCB4CC4F3" ma:contentTypeVersion="11" ma:contentTypeDescription="Een nieuw document maken." ma:contentTypeScope="" ma:versionID="e5087617999f10da0d2f980bc6378f8f">
  <xsd:schema xmlns:xsd="http://www.w3.org/2001/XMLSchema" xmlns:xs="http://www.w3.org/2001/XMLSchema" xmlns:p="http://schemas.microsoft.com/office/2006/metadata/properties" xmlns:ns2="ebec117b-9ab9-4dc8-b2ea-31ef35fe946e" xmlns:ns3="c1f9888a-f422-44db-b948-8a5b33b5ada5" targetNamespace="http://schemas.microsoft.com/office/2006/metadata/properties" ma:root="true" ma:fieldsID="faa636ecab31937dcf07e5ae085be16e" ns2:_="" ns3:_="">
    <xsd:import namespace="ebec117b-9ab9-4dc8-b2ea-31ef35fe946e"/>
    <xsd:import namespace="c1f9888a-f422-44db-b948-8a5b33b5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c117b-9ab9-4dc8-b2ea-31ef35fe9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9888a-f422-44db-b948-8a5b33b5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C0CDA8-CAC0-4CF3-833D-3CDB7D16B63A}">
  <ds:schemaRefs>
    <ds:schemaRef ds:uri="http://schemas.microsoft.com/office/2006/metadata/properties"/>
    <ds:schemaRef ds:uri="http://schemas.microsoft.com/office/infopath/2007/PartnerControls"/>
    <ds:schemaRef ds:uri="c1f9888a-f422-44db-b948-8a5b33b5ada5"/>
  </ds:schemaRefs>
</ds:datastoreItem>
</file>

<file path=customXml/itemProps2.xml><?xml version="1.0" encoding="utf-8"?>
<ds:datastoreItem xmlns:ds="http://schemas.openxmlformats.org/officeDocument/2006/customXml" ds:itemID="{55384C29-8968-49C3-A65E-1FD31B57D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89F3-CE0A-44FF-B67E-9B5BD3862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c117b-9ab9-4dc8-b2ea-31ef35fe946e"/>
    <ds:schemaRef ds:uri="c1f9888a-f422-44db-b948-8a5b33b5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Wegingsfactoren Gunning</vt:lpstr>
      <vt:lpstr>Score - RANKING kwaliteit</vt:lpstr>
      <vt:lpstr>RANKING prijs-Kwalitiet</vt:lpstr>
    </vt:vector>
  </TitlesOfParts>
  <Manager/>
  <Company>Kien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Wagenmakers</dc:creator>
  <cp:keywords/>
  <dc:description/>
  <cp:lastModifiedBy>Maarten Wagenmakers</cp:lastModifiedBy>
  <cp:revision/>
  <dcterms:created xsi:type="dcterms:W3CDTF">2020-03-04T15:04:41Z</dcterms:created>
  <dcterms:modified xsi:type="dcterms:W3CDTF">2022-10-06T08:35:28Z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0x0101005746A29E8DAE75468FF68DCFCB4CC4F3</vt:lpwstr>
  </property>
</Properties>
</file>